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array.xml" ContentType="application/vnd.ms-excel.rdarray+xml"/>
  <Override PartName="/xl/richData/richStyles.xml" ContentType="application/vnd.ms-excel.richstyles+xml"/>
  <Override PartName="/xl/richData/rdsupportingpropertybagstructure.xml" ContentType="application/vnd.ms-excel.rdsupportingpropertybagstructure+xml"/>
  <Override PartName="/xl/richData/rdsupportingpropertybag.xml" ContentType="application/vnd.ms-excel.rdsupportingpropertybag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24"/>
  <workbookPr codeName="ThisWorkbook"/>
  <mc:AlternateContent xmlns:mc="http://schemas.openxmlformats.org/markup-compatibility/2006">
    <mc:Choice Requires="x15">
      <x15ac:absPath xmlns:x15ac="http://schemas.microsoft.com/office/spreadsheetml/2010/11/ac" url="/Users/francogianotti/Dropbox/Inversiones/Analisis de empresas/Macfarlane/"/>
    </mc:Choice>
  </mc:AlternateContent>
  <xr:revisionPtr revIDLastSave="0" documentId="13_ncr:1_{DDEE26DF-CBC5-164C-866D-AFDDF4B4FE9B}" xr6:coauthVersionLast="47" xr6:coauthVersionMax="47" xr10:uidLastSave="{00000000-0000-0000-0000-000000000000}"/>
  <bookViews>
    <workbookView xWindow="0" yWindow="760" windowWidth="34560" windowHeight="19980" xr2:uid="{4D950FD3-DBF2-D54A-856B-609B44D71BCE}"/>
  </bookViews>
  <sheets>
    <sheet name="Statements Input" sheetId="1" r:id="rId1"/>
    <sheet name="Scenario Summary" sheetId="10" r:id="rId2"/>
    <sheet name="DFCFF" sheetId="2" r:id="rId3"/>
    <sheet name="Risk" sheetId="4" r:id="rId4"/>
    <sheet name="Beta Calculation" sheetId="5" r:id="rId5"/>
  </sheets>
  <calcPr calcId="191029" iterate="1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119" i="1" l="1"/>
  <c r="N114" i="1" s="1"/>
  <c r="H119" i="1"/>
  <c r="H114" i="1" s="1"/>
  <c r="I119" i="1"/>
  <c r="I114" i="1" s="1"/>
  <c r="J119" i="1"/>
  <c r="J115" i="1"/>
  <c r="K119" i="1"/>
  <c r="K114" i="1" s="1"/>
  <c r="L119" i="1"/>
  <c r="L114" i="1" s="1"/>
  <c r="M119" i="1"/>
  <c r="M114" i="1" s="1"/>
  <c r="Q183" i="2"/>
  <c r="R115" i="2"/>
  <c r="S115" i="2"/>
  <c r="T115" i="2"/>
  <c r="U115" i="2"/>
  <c r="V114" i="2"/>
  <c r="W114" i="2"/>
  <c r="X114" i="2"/>
  <c r="Y114" i="2"/>
  <c r="Z114" i="2"/>
  <c r="Q115" i="2"/>
  <c r="R111" i="2"/>
  <c r="S111" i="2" s="1"/>
  <c r="T111" i="2" s="1"/>
  <c r="U111" i="2" s="1"/>
  <c r="V110" i="2" s="1"/>
  <c r="W110" i="2" s="1"/>
  <c r="X110" i="2" s="1"/>
  <c r="Y110" i="2" s="1"/>
  <c r="Z110" i="2" s="1"/>
  <c r="Q158" i="2"/>
  <c r="Q159" i="2"/>
  <c r="Q87" i="2" a="1"/>
  <c r="Q87" i="2" s="1"/>
  <c r="Q66" i="2" a="1"/>
  <c r="Q66" i="2" s="1"/>
  <c r="Q21" i="2"/>
  <c r="R21" i="2"/>
  <c r="S21" i="2"/>
  <c r="T21" i="2"/>
  <c r="U21" i="2"/>
  <c r="V21" i="2"/>
  <c r="V30" i="2" s="1"/>
  <c r="W21" i="2"/>
  <c r="W30" i="2" s="1"/>
  <c r="X21" i="2"/>
  <c r="X30" i="2" s="1"/>
  <c r="Y21" i="2"/>
  <c r="Y30" i="2" s="1"/>
  <c r="Z21" i="2"/>
  <c r="Z30" i="2" s="1"/>
  <c r="N23" i="1"/>
  <c r="N21" i="1"/>
  <c r="N148" i="1"/>
  <c r="N19" i="1"/>
  <c r="J114" i="1" l="1"/>
  <c r="R183" i="2"/>
  <c r="S183" i="2" s="1"/>
  <c r="T183" i="2" s="1"/>
  <c r="U183" i="2" s="1"/>
  <c r="V182" i="2" s="1"/>
  <c r="W182" i="2" s="1"/>
  <c r="X182" i="2" s="1"/>
  <c r="Y182" i="2" s="1"/>
  <c r="Z182" i="2" s="1"/>
  <c r="H139" i="1"/>
  <c r="H131" i="1"/>
  <c r="H124" i="1"/>
  <c r="H108" i="1"/>
  <c r="E64" i="1"/>
  <c r="F64" i="1"/>
  <c r="G64" i="1"/>
  <c r="H64" i="1"/>
  <c r="H23" i="1"/>
  <c r="H24" i="1" s="1"/>
  <c r="G63" i="2"/>
  <c r="H63" i="2"/>
  <c r="I63" i="2"/>
  <c r="J63" i="2"/>
  <c r="K63" i="2"/>
  <c r="L63" i="2"/>
  <c r="I131" i="1"/>
  <c r="I124" i="1"/>
  <c r="N64" i="1"/>
  <c r="I23" i="1"/>
  <c r="I21" i="1"/>
  <c r="I64" i="1" s="1"/>
  <c r="I19" i="1"/>
  <c r="E20" i="4"/>
  <c r="D25" i="4"/>
  <c r="D26" i="4"/>
  <c r="D5" i="5" l="1"/>
  <c r="B13" i="5"/>
  <c r="C15" i="5"/>
  <c r="C16" i="5" s="1"/>
  <c r="D16" i="5" s="1"/>
  <c r="D14" i="5"/>
  <c r="D13" i="5"/>
  <c r="E13" i="5" a="1"/>
  <c r="E13" i="5" l="1"/>
  <c r="B14" i="5"/>
  <c r="D15" i="5"/>
  <c r="C17" i="5"/>
  <c r="C18" i="5" s="1"/>
  <c r="E14" i="5" a="1"/>
  <c r="D17" i="5" l="1"/>
  <c r="E14" i="5"/>
  <c r="B15" i="5"/>
  <c r="C19" i="5"/>
  <c r="D18" i="5"/>
  <c r="E15" i="5" a="1"/>
  <c r="E15" i="5" l="1"/>
  <c r="B16" i="5"/>
  <c r="D19" i="5"/>
  <c r="C20" i="5"/>
  <c r="E16" i="5" a="1"/>
  <c r="E16" i="5" l="1"/>
  <c r="B17" i="5"/>
  <c r="D20" i="5"/>
  <c r="C21" i="5"/>
  <c r="E17" i="5" a="1"/>
  <c r="E17" i="5" l="1"/>
  <c r="B18" i="5"/>
  <c r="C22" i="5"/>
  <c r="D21" i="5"/>
  <c r="E18" i="5" a="1"/>
  <c r="E18" i="5" l="1"/>
  <c r="B19" i="5"/>
  <c r="C23" i="5"/>
  <c r="D22" i="5"/>
  <c r="E19" i="5" a="1"/>
  <c r="E19" i="5" l="1"/>
  <c r="B20" i="5"/>
  <c r="D23" i="5"/>
  <c r="C24" i="5"/>
  <c r="E20" i="5" a="1"/>
  <c r="E20" i="5" l="1"/>
  <c r="B21" i="5"/>
  <c r="C25" i="5"/>
  <c r="D24" i="5"/>
  <c r="E21" i="5" a="1"/>
  <c r="E21" i="5" l="1"/>
  <c r="B22" i="5"/>
  <c r="C26" i="5"/>
  <c r="D25" i="5"/>
  <c r="E22" i="5" a="1"/>
  <c r="E22" i="5" l="1"/>
  <c r="B23" i="5"/>
  <c r="D26" i="5"/>
  <c r="C27" i="5"/>
  <c r="E23" i="5" a="1"/>
  <c r="E23" i="5" l="1"/>
  <c r="B24" i="5"/>
  <c r="D27" i="5"/>
  <c r="C28" i="5"/>
  <c r="E24" i="5" a="1"/>
  <c r="E24" i="5" l="1"/>
  <c r="B25" i="5"/>
  <c r="D28" i="5"/>
  <c r="C29" i="5"/>
  <c r="E25" i="5" a="1"/>
  <c r="E25" i="5" l="1"/>
  <c r="B26" i="5"/>
  <c r="D29" i="5"/>
  <c r="C30" i="5"/>
  <c r="E26" i="5" a="1"/>
  <c r="E26" i="5" l="1"/>
  <c r="B27" i="5"/>
  <c r="D30" i="5"/>
  <c r="C31" i="5"/>
  <c r="E27" i="5" a="1"/>
  <c r="E27" i="5" l="1"/>
  <c r="B28" i="5"/>
  <c r="C32" i="5"/>
  <c r="D31" i="5"/>
  <c r="E28" i="5" a="1"/>
  <c r="E28" i="5" l="1"/>
  <c r="B29" i="5"/>
  <c r="C33" i="5"/>
  <c r="D32" i="5"/>
  <c r="E29" i="5" a="1"/>
  <c r="E29" i="5" l="1"/>
  <c r="B30" i="5"/>
  <c r="C34" i="5"/>
  <c r="D33" i="5"/>
  <c r="E30" i="5" a="1"/>
  <c r="E30" i="5" l="1"/>
  <c r="B31" i="5"/>
  <c r="D34" i="5"/>
  <c r="C35" i="5"/>
  <c r="E31" i="5" a="1"/>
  <c r="E31" i="5" l="1"/>
  <c r="B32" i="5"/>
  <c r="C36" i="5"/>
  <c r="D35" i="5"/>
  <c r="E32" i="5" a="1"/>
  <c r="E32" i="5" l="1"/>
  <c r="B33" i="5"/>
  <c r="D36" i="5"/>
  <c r="C37" i="5"/>
  <c r="E33" i="5" a="1"/>
  <c r="E33" i="5" l="1"/>
  <c r="B34" i="5"/>
  <c r="C38" i="5"/>
  <c r="D37" i="5"/>
  <c r="E34" i="5" a="1"/>
  <c r="E34" i="5" l="1"/>
  <c r="B35" i="5"/>
  <c r="C39" i="5"/>
  <c r="D38" i="5"/>
  <c r="E35" i="5" a="1"/>
  <c r="E35" i="5" l="1"/>
  <c r="B36" i="5"/>
  <c r="C40" i="5"/>
  <c r="D39" i="5"/>
  <c r="E36" i="5" a="1"/>
  <c r="E36" i="5" l="1"/>
  <c r="B37" i="5"/>
  <c r="C41" i="5"/>
  <c r="D40" i="5"/>
  <c r="E37" i="5" a="1"/>
  <c r="E37" i="5" l="1"/>
  <c r="B38" i="5"/>
  <c r="D41" i="5"/>
  <c r="C42" i="5"/>
  <c r="E38" i="5" a="1"/>
  <c r="E38" i="5" l="1"/>
  <c r="B39" i="5"/>
  <c r="C43" i="5"/>
  <c r="D42" i="5"/>
  <c r="E39" i="5" a="1"/>
  <c r="E39" i="5" l="1"/>
  <c r="B40" i="5"/>
  <c r="D43" i="5"/>
  <c r="C44" i="5"/>
  <c r="E40" i="5" a="1"/>
  <c r="E40" i="5" l="1"/>
  <c r="B41" i="5"/>
  <c r="C45" i="5"/>
  <c r="D44" i="5"/>
  <c r="E41" i="5" a="1"/>
  <c r="E41" i="5" l="1"/>
  <c r="B42" i="5"/>
  <c r="C46" i="5"/>
  <c r="D45" i="5"/>
  <c r="E42" i="5" a="1"/>
  <c r="E42" i="5" l="1"/>
  <c r="B43" i="5"/>
  <c r="C47" i="5"/>
  <c r="D46" i="5"/>
  <c r="E43" i="5" a="1"/>
  <c r="E43" i="5" l="1"/>
  <c r="B44" i="5"/>
  <c r="C48" i="5"/>
  <c r="D47" i="5"/>
  <c r="E44" i="5" a="1"/>
  <c r="E44" i="5" l="1"/>
  <c r="B45" i="5"/>
  <c r="D48" i="5"/>
  <c r="C49" i="5"/>
  <c r="E45" i="5" a="1"/>
  <c r="E45" i="5" l="1"/>
  <c r="B46" i="5"/>
  <c r="D49" i="5"/>
  <c r="C50" i="5"/>
  <c r="E46" i="5" a="1"/>
  <c r="E46" i="5" l="1"/>
  <c r="B47" i="5"/>
  <c r="C51" i="5"/>
  <c r="D50" i="5"/>
  <c r="E47" i="5" a="1"/>
  <c r="E47" i="5" l="1"/>
  <c r="B48" i="5"/>
  <c r="C52" i="5"/>
  <c r="D51" i="5"/>
  <c r="E48" i="5" a="1"/>
  <c r="E48" i="5" l="1"/>
  <c r="B49" i="5"/>
  <c r="C53" i="5"/>
  <c r="D52" i="5"/>
  <c r="E49" i="5" a="1"/>
  <c r="E49" i="5" l="1"/>
  <c r="B50" i="5"/>
  <c r="C54" i="5"/>
  <c r="D53" i="5"/>
  <c r="E50" i="5" a="1"/>
  <c r="E50" i="5" l="1"/>
  <c r="B51" i="5"/>
  <c r="C55" i="5"/>
  <c r="D54" i="5"/>
  <c r="E51" i="5" a="1"/>
  <c r="E51" i="5" l="1"/>
  <c r="B52" i="5"/>
  <c r="D55" i="5"/>
  <c r="C56" i="5"/>
  <c r="E52" i="5" a="1"/>
  <c r="E52" i="5" l="1"/>
  <c r="B53" i="5"/>
  <c r="C57" i="5"/>
  <c r="D56" i="5"/>
  <c r="E53" i="5" a="1"/>
  <c r="E53" i="5" l="1"/>
  <c r="B54" i="5"/>
  <c r="D57" i="5"/>
  <c r="C58" i="5"/>
  <c r="E54" i="5" a="1"/>
  <c r="E54" i="5" l="1"/>
  <c r="B55" i="5"/>
  <c r="C59" i="5"/>
  <c r="D58" i="5"/>
  <c r="E55" i="5" a="1"/>
  <c r="E55" i="5" l="1"/>
  <c r="B56" i="5"/>
  <c r="C60" i="5"/>
  <c r="D59" i="5"/>
  <c r="E56" i="5" a="1"/>
  <c r="E56" i="5" l="1"/>
  <c r="B57" i="5"/>
  <c r="C61" i="5"/>
  <c r="D60" i="5"/>
  <c r="E57" i="5" a="1"/>
  <c r="E57" i="5" l="1"/>
  <c r="B58" i="5"/>
  <c r="C62" i="5"/>
  <c r="D61" i="5"/>
  <c r="E58" i="5" a="1"/>
  <c r="E58" i="5" l="1"/>
  <c r="B59" i="5"/>
  <c r="D62" i="5"/>
  <c r="C63" i="5"/>
  <c r="E59" i="5" a="1"/>
  <c r="E59" i="5" l="1"/>
  <c r="B60" i="5"/>
  <c r="D63" i="5"/>
  <c r="C64" i="5"/>
  <c r="E60" i="5" a="1"/>
  <c r="E60" i="5" l="1"/>
  <c r="B61" i="5"/>
  <c r="C65" i="5"/>
  <c r="D64" i="5"/>
  <c r="E61" i="5" a="1"/>
  <c r="E61" i="5" l="1"/>
  <c r="B62" i="5"/>
  <c r="D65" i="5"/>
  <c r="C66" i="5"/>
  <c r="E62" i="5" a="1"/>
  <c r="E62" i="5" l="1"/>
  <c r="B63" i="5"/>
  <c r="C67" i="5"/>
  <c r="D66" i="5"/>
  <c r="E63" i="5" a="1"/>
  <c r="E63" i="5" l="1"/>
  <c r="B64" i="5"/>
  <c r="C68" i="5"/>
  <c r="D67" i="5"/>
  <c r="E64" i="5" a="1"/>
  <c r="E64" i="5" l="1"/>
  <c r="B65" i="5"/>
  <c r="D68" i="5"/>
  <c r="C69" i="5"/>
  <c r="E65" i="5" a="1"/>
  <c r="E65" i="5" l="1"/>
  <c r="B66" i="5"/>
  <c r="D69" i="5"/>
  <c r="C70" i="5"/>
  <c r="E66" i="5" a="1"/>
  <c r="E66" i="5" l="1"/>
  <c r="B67" i="5"/>
  <c r="D70" i="5"/>
  <c r="C71" i="5"/>
  <c r="E67" i="5" a="1"/>
  <c r="E67" i="5" l="1"/>
  <c r="B68" i="5"/>
  <c r="C72" i="5"/>
  <c r="D72" i="5" s="1"/>
  <c r="D71" i="5"/>
  <c r="E68" i="5" a="1"/>
  <c r="E68" i="5" l="1"/>
  <c r="B69" i="5"/>
  <c r="E69" i="5" a="1"/>
  <c r="E69" i="5" l="1"/>
  <c r="B70" i="5"/>
  <c r="B71" i="5" s="1"/>
  <c r="I14" i="5"/>
  <c r="J14" i="5"/>
  <c r="E71" i="5" a="1"/>
  <c r="E70" i="5" a="1"/>
  <c r="E71" i="5" l="1"/>
  <c r="E70" i="5"/>
  <c r="B72" i="5"/>
  <c r="I15" i="5"/>
  <c r="J15" i="5"/>
  <c r="E72" i="5" a="1"/>
  <c r="E72" i="5" l="1"/>
  <c r="I16" i="5"/>
  <c r="J16" i="5"/>
  <c r="J17" i="5" l="1"/>
  <c r="I17" i="5"/>
  <c r="I18" i="5" l="1"/>
  <c r="J18" i="5"/>
  <c r="J19" i="5" l="1"/>
  <c r="I19" i="5"/>
  <c r="J20" i="5" l="1"/>
  <c r="I20" i="5"/>
  <c r="I21" i="5" l="1"/>
  <c r="J21" i="5"/>
  <c r="I22" i="5" l="1"/>
  <c r="J22" i="5"/>
  <c r="I23" i="5" l="1"/>
  <c r="J23" i="5"/>
  <c r="I24" i="5" l="1"/>
  <c r="J24" i="5"/>
  <c r="I25" i="5" l="1"/>
  <c r="J25" i="5"/>
  <c r="J26" i="5" l="1"/>
  <c r="I26" i="5"/>
  <c r="J27" i="5" l="1"/>
  <c r="I27" i="5"/>
  <c r="I28" i="5" l="1"/>
  <c r="J28" i="5"/>
  <c r="J29" i="5" l="1"/>
  <c r="I29" i="5"/>
  <c r="I30" i="5" l="1"/>
  <c r="J30" i="5"/>
  <c r="I31" i="5" l="1"/>
  <c r="J31" i="5"/>
  <c r="I32" i="5" l="1"/>
  <c r="J32" i="5"/>
  <c r="J33" i="5" l="1"/>
  <c r="I33" i="5"/>
  <c r="I34" i="5" l="1"/>
  <c r="J34" i="5"/>
  <c r="J35" i="5" l="1"/>
  <c r="I35" i="5"/>
  <c r="I36" i="5" l="1"/>
  <c r="J36" i="5"/>
  <c r="I37" i="5" l="1"/>
  <c r="J37" i="5"/>
  <c r="I38" i="5" l="1"/>
  <c r="J38" i="5"/>
  <c r="J39" i="5" l="1"/>
  <c r="I39" i="5"/>
  <c r="I40" i="5" l="1"/>
  <c r="J40" i="5"/>
  <c r="I41" i="5" l="1"/>
  <c r="J41" i="5"/>
  <c r="I42" i="5" l="1"/>
  <c r="J42" i="5"/>
  <c r="I43" i="5" l="1"/>
  <c r="J43" i="5"/>
  <c r="I44" i="5" l="1"/>
  <c r="J44" i="5"/>
  <c r="I45" i="5" l="1"/>
  <c r="J45" i="5"/>
  <c r="I46" i="5" l="1"/>
  <c r="J46" i="5"/>
  <c r="J47" i="5" l="1"/>
  <c r="I47" i="5"/>
  <c r="J48" i="5" l="1"/>
  <c r="I48" i="5"/>
  <c r="J49" i="5" l="1"/>
  <c r="I49" i="5"/>
  <c r="I50" i="5" l="1"/>
  <c r="J50" i="5"/>
  <c r="I51" i="5" l="1"/>
  <c r="J51" i="5"/>
  <c r="I52" i="5" l="1"/>
  <c r="J52" i="5"/>
  <c r="I53" i="5" l="1"/>
  <c r="J53" i="5"/>
  <c r="J54" i="5" l="1"/>
  <c r="I54" i="5"/>
  <c r="I55" i="5" l="1"/>
  <c r="J55" i="5"/>
  <c r="I56" i="5" l="1"/>
  <c r="J56" i="5"/>
  <c r="I57" i="5" l="1"/>
  <c r="J57" i="5"/>
  <c r="J58" i="5" l="1"/>
  <c r="I58" i="5"/>
  <c r="I59" i="5" l="1"/>
  <c r="J59" i="5"/>
  <c r="I60" i="5" l="1"/>
  <c r="J60" i="5"/>
  <c r="J61" i="5" l="1"/>
  <c r="I61" i="5"/>
  <c r="I62" i="5" l="1"/>
  <c r="J62" i="5"/>
  <c r="J63" i="5" l="1"/>
  <c r="I63" i="5"/>
  <c r="I64" i="5" l="1"/>
  <c r="J64" i="5"/>
  <c r="J65" i="5" l="1"/>
  <c r="I65" i="5"/>
  <c r="J66" i="5" l="1"/>
  <c r="I66" i="5"/>
  <c r="I67" i="5" l="1"/>
  <c r="J67" i="5"/>
  <c r="J68" i="5" l="1"/>
  <c r="I68" i="5"/>
  <c r="I69" i="5" l="1"/>
  <c r="J69" i="5"/>
  <c r="J70" i="5" l="1"/>
  <c r="I70" i="5"/>
  <c r="I71" i="5" l="1"/>
  <c r="J71" i="5"/>
  <c r="J72" i="5" l="1"/>
  <c r="L68" i="5" s="1"/>
  <c r="I72" i="5"/>
  <c r="M56" i="5" l="1"/>
  <c r="M71" i="5"/>
  <c r="K71" i="5"/>
  <c r="L64" i="5"/>
  <c r="L46" i="5"/>
  <c r="L45" i="5"/>
  <c r="L59" i="5"/>
  <c r="L52" i="5"/>
  <c r="L47" i="5"/>
  <c r="L62" i="5"/>
  <c r="L54" i="5"/>
  <c r="L57" i="5"/>
  <c r="L42" i="5"/>
  <c r="L63" i="5"/>
  <c r="L60" i="5"/>
  <c r="L50" i="5"/>
  <c r="L67" i="5"/>
  <c r="L51" i="5"/>
  <c r="L48" i="5"/>
  <c r="L61" i="5"/>
  <c r="L65" i="5"/>
  <c r="L39" i="5"/>
  <c r="L44" i="5"/>
  <c r="L43" i="5"/>
  <c r="L69" i="5"/>
  <c r="L40" i="5"/>
  <c r="L53" i="5"/>
  <c r="L55" i="5"/>
  <c r="L49" i="5"/>
  <c r="L58" i="5"/>
  <c r="L56" i="5"/>
  <c r="L66" i="5"/>
  <c r="L41" i="5"/>
  <c r="L70" i="5"/>
  <c r="L71" i="5"/>
  <c r="L72" i="5"/>
  <c r="L15" i="5"/>
  <c r="L16" i="5"/>
  <c r="L17" i="5"/>
  <c r="L18" i="5"/>
  <c r="L14" i="5"/>
  <c r="L19" i="5"/>
  <c r="L20" i="5"/>
  <c r="L21" i="5"/>
  <c r="L22" i="5"/>
  <c r="L31" i="5"/>
  <c r="L23" i="5"/>
  <c r="L29" i="5"/>
  <c r="L24" i="5"/>
  <c r="L27" i="5"/>
  <c r="L35" i="5"/>
  <c r="L26" i="5"/>
  <c r="L30" i="5"/>
  <c r="L33" i="5"/>
  <c r="L25" i="5"/>
  <c r="L32" i="5"/>
  <c r="L28" i="5"/>
  <c r="L36" i="5"/>
  <c r="L34" i="5"/>
  <c r="L37" i="5"/>
  <c r="L38" i="5"/>
  <c r="M27" i="5"/>
  <c r="K62" i="5"/>
  <c r="D9" i="5"/>
  <c r="M28" i="5"/>
  <c r="M69" i="5"/>
  <c r="K69" i="5"/>
  <c r="K35" i="5"/>
  <c r="M34" i="5"/>
  <c r="M63" i="5"/>
  <c r="M49" i="5"/>
  <c r="K48" i="5"/>
  <c r="M21" i="5"/>
  <c r="M42" i="5"/>
  <c r="K56" i="5"/>
  <c r="M55" i="5"/>
  <c r="K28" i="5"/>
  <c r="K27" i="5"/>
  <c r="K41" i="5"/>
  <c r="M62" i="5"/>
  <c r="M35" i="5"/>
  <c r="K42" i="5"/>
  <c r="M41" i="5"/>
  <c r="K49" i="5"/>
  <c r="K34" i="5"/>
  <c r="M48" i="5"/>
  <c r="M16" i="5"/>
  <c r="K18" i="5"/>
  <c r="M15" i="5"/>
  <c r="M17" i="5"/>
  <c r="K15" i="5"/>
  <c r="K16" i="5"/>
  <c r="K17" i="5"/>
  <c r="K14" i="5"/>
  <c r="M14" i="5"/>
  <c r="M19" i="5"/>
  <c r="M18" i="5"/>
  <c r="K21" i="5"/>
  <c r="K43" i="5"/>
  <c r="K70" i="5"/>
  <c r="M50" i="5"/>
  <c r="M30" i="5"/>
  <c r="M58" i="5"/>
  <c r="K44" i="5"/>
  <c r="K31" i="5"/>
  <c r="K59" i="5"/>
  <c r="M38" i="5"/>
  <c r="M66" i="5"/>
  <c r="M46" i="5"/>
  <c r="K25" i="5"/>
  <c r="K53" i="5"/>
  <c r="K33" i="5"/>
  <c r="M61" i="5"/>
  <c r="K29" i="5"/>
  <c r="K57" i="5"/>
  <c r="M43" i="5"/>
  <c r="M64" i="5"/>
  <c r="M44" i="5"/>
  <c r="K37" i="5"/>
  <c r="K65" i="5"/>
  <c r="K38" i="5"/>
  <c r="K66" i="5"/>
  <c r="M45" i="5"/>
  <c r="M25" i="5"/>
  <c r="M53" i="5"/>
  <c r="K32" i="5"/>
  <c r="K60" i="5"/>
  <c r="M40" i="5"/>
  <c r="K61" i="5"/>
  <c r="M33" i="5"/>
  <c r="K68" i="5"/>
  <c r="K19" i="5"/>
  <c r="K36" i="5"/>
  <c r="K50" i="5"/>
  <c r="M29" i="5"/>
  <c r="M57" i="5"/>
  <c r="M37" i="5"/>
  <c r="M65" i="5"/>
  <c r="K51" i="5"/>
  <c r="M22" i="5"/>
  <c r="K52" i="5"/>
  <c r="M31" i="5"/>
  <c r="M59" i="5"/>
  <c r="M39" i="5"/>
  <c r="M67" i="5"/>
  <c r="K46" i="5"/>
  <c r="K67" i="5"/>
  <c r="M47" i="5"/>
  <c r="M68" i="5"/>
  <c r="K40" i="5"/>
  <c r="K63" i="5"/>
  <c r="K64" i="5"/>
  <c r="M36" i="5"/>
  <c r="M70" i="5"/>
  <c r="M51" i="5"/>
  <c r="K30" i="5"/>
  <c r="K58" i="5"/>
  <c r="K45" i="5"/>
  <c r="M20" i="5"/>
  <c r="M52" i="5"/>
  <c r="M32" i="5"/>
  <c r="M60" i="5"/>
  <c r="K39" i="5"/>
  <c r="M26" i="5"/>
  <c r="M54" i="5"/>
  <c r="K26" i="5"/>
  <c r="K54" i="5"/>
  <c r="K20" i="5"/>
  <c r="K24" i="5"/>
  <c r="K23" i="5"/>
  <c r="K22" i="5"/>
  <c r="K47" i="5"/>
  <c r="M24" i="5"/>
  <c r="K55" i="5"/>
  <c r="M23" i="5"/>
  <c r="M72" i="5"/>
  <c r="K72" i="5"/>
  <c r="D8" i="5" l="1"/>
  <c r="O5" i="4" l="1"/>
  <c r="O10" i="4" s="1"/>
  <c r="I5" i="4" s="1"/>
  <c r="I6" i="4" s="1"/>
  <c r="E13" i="4" s="1"/>
  <c r="E7" i="4" l="1"/>
  <c r="E11" i="4" s="1"/>
  <c r="D62" i="2" l="1"/>
  <c r="D53" i="2"/>
  <c r="D52" i="2"/>
  <c r="D11" i="2"/>
  <c r="D54" i="2" s="1"/>
  <c r="A1" i="1" l="1"/>
  <c r="H86" i="2"/>
  <c r="I86" i="2"/>
  <c r="J86" i="2"/>
  <c r="K86" i="2"/>
  <c r="L86" i="2"/>
  <c r="M86" i="2"/>
  <c r="N86" i="2"/>
  <c r="O86" i="2"/>
  <c r="P86" i="2"/>
  <c r="G86" i="2"/>
  <c r="H90" i="2"/>
  <c r="I90" i="2"/>
  <c r="J90" i="2"/>
  <c r="K90" i="2"/>
  <c r="L90" i="2"/>
  <c r="M90" i="2"/>
  <c r="N90" i="2"/>
  <c r="O90" i="2"/>
  <c r="P90" i="2"/>
  <c r="H93" i="2"/>
  <c r="I93" i="2"/>
  <c r="J93" i="2"/>
  <c r="K93" i="2"/>
  <c r="L93" i="2"/>
  <c r="M93" i="2"/>
  <c r="N93" i="2"/>
  <c r="O93" i="2"/>
  <c r="P93" i="2"/>
  <c r="H96" i="2"/>
  <c r="I96" i="2"/>
  <c r="J96" i="2"/>
  <c r="K96" i="2"/>
  <c r="L96" i="2"/>
  <c r="M96" i="2"/>
  <c r="N96" i="2"/>
  <c r="O96" i="2"/>
  <c r="P96" i="2"/>
  <c r="G96" i="2"/>
  <c r="G93" i="2"/>
  <c r="G90" i="2"/>
  <c r="H77" i="2"/>
  <c r="I77" i="2"/>
  <c r="J77" i="2"/>
  <c r="K77" i="2"/>
  <c r="L77" i="2"/>
  <c r="M77" i="2"/>
  <c r="N77" i="2"/>
  <c r="O77" i="2"/>
  <c r="P77" i="2"/>
  <c r="H80" i="2"/>
  <c r="I80" i="2"/>
  <c r="J80" i="2"/>
  <c r="K80" i="2"/>
  <c r="L80" i="2"/>
  <c r="M80" i="2"/>
  <c r="N80" i="2"/>
  <c r="O80" i="2"/>
  <c r="P80" i="2"/>
  <c r="H83" i="2"/>
  <c r="I83" i="2"/>
  <c r="J83" i="2"/>
  <c r="K83" i="2"/>
  <c r="L83" i="2"/>
  <c r="M83" i="2"/>
  <c r="N83" i="2"/>
  <c r="O83" i="2"/>
  <c r="P83" i="2"/>
  <c r="G83" i="2"/>
  <c r="G80" i="2"/>
  <c r="G77" i="2"/>
  <c r="R31" i="2"/>
  <c r="S31" i="2"/>
  <c r="T31" i="2"/>
  <c r="U31" i="2"/>
  <c r="Q31" i="2"/>
  <c r="G22" i="2"/>
  <c r="G70" i="2" s="1"/>
  <c r="G37" i="2" s="1"/>
  <c r="G21" i="2"/>
  <c r="H21" i="2"/>
  <c r="I21" i="2"/>
  <c r="J21" i="2"/>
  <c r="K21" i="2"/>
  <c r="L21" i="2"/>
  <c r="M21" i="2"/>
  <c r="N21" i="2"/>
  <c r="O21" i="2"/>
  <c r="G23" i="2"/>
  <c r="H23" i="2"/>
  <c r="I23" i="2"/>
  <c r="J23" i="2"/>
  <c r="K23" i="2"/>
  <c r="H22" i="2"/>
  <c r="H70" i="2" s="1"/>
  <c r="H37" i="2" s="1"/>
  <c r="I22" i="2"/>
  <c r="I70" i="2" s="1"/>
  <c r="I37" i="2" s="1"/>
  <c r="J22" i="2"/>
  <c r="J70" i="2" s="1"/>
  <c r="J37" i="2" s="1"/>
  <c r="K22" i="2"/>
  <c r="K70" i="2" s="1"/>
  <c r="K37" i="2" s="1"/>
  <c r="L22" i="2"/>
  <c r="L70" i="2" s="1"/>
  <c r="L37" i="2" s="1"/>
  <c r="M22" i="2"/>
  <c r="M70" i="2" s="1"/>
  <c r="M37" i="2" s="1"/>
  <c r="N22" i="2"/>
  <c r="N70" i="2" s="1"/>
  <c r="N37" i="2" s="1"/>
  <c r="O22" i="2"/>
  <c r="O70" i="2" s="1"/>
  <c r="O37" i="2" s="1"/>
  <c r="P23" i="2"/>
  <c r="P22" i="2"/>
  <c r="P70" i="2" s="1"/>
  <c r="P37" i="2" s="1"/>
  <c r="P21" i="2"/>
  <c r="K22" i="1"/>
  <c r="J22" i="1"/>
  <c r="L22" i="1"/>
  <c r="M22" i="1"/>
  <c r="M64" i="1" s="1"/>
  <c r="M23" i="1"/>
  <c r="E152" i="1"/>
  <c r="G65" i="2" s="1"/>
  <c r="F152" i="1"/>
  <c r="H65" i="2" s="1"/>
  <c r="G152" i="1"/>
  <c r="I65" i="2" s="1"/>
  <c r="H152" i="1"/>
  <c r="J65" i="2" s="1"/>
  <c r="I152" i="1"/>
  <c r="K65" i="2" s="1"/>
  <c r="J152" i="1"/>
  <c r="L65" i="2" s="1"/>
  <c r="K152" i="1"/>
  <c r="M65" i="2" s="1"/>
  <c r="L152" i="1"/>
  <c r="N65" i="2" s="1"/>
  <c r="M152" i="1"/>
  <c r="O65" i="2" s="1"/>
  <c r="N152" i="1"/>
  <c r="P65" i="2" s="1"/>
  <c r="N147" i="1"/>
  <c r="M147" i="1" s="1"/>
  <c r="L147" i="1" s="1"/>
  <c r="K147" i="1" s="1"/>
  <c r="J147" i="1" s="1"/>
  <c r="I147" i="1" s="1"/>
  <c r="H147" i="1" s="1"/>
  <c r="G147" i="1" s="1"/>
  <c r="F147" i="1" s="1"/>
  <c r="E147" i="1" s="1"/>
  <c r="N63" i="2"/>
  <c r="O63" i="2"/>
  <c r="P63" i="2"/>
  <c r="M63" i="2"/>
  <c r="G50" i="2"/>
  <c r="H50" i="2"/>
  <c r="I50" i="2"/>
  <c r="J50" i="2"/>
  <c r="K50" i="2"/>
  <c r="L50" i="2"/>
  <c r="M50" i="2"/>
  <c r="N50" i="2"/>
  <c r="O50" i="2"/>
  <c r="P50" i="2"/>
  <c r="E84" i="1"/>
  <c r="F84" i="1"/>
  <c r="G84" i="1"/>
  <c r="H84" i="1"/>
  <c r="I84" i="1"/>
  <c r="L84" i="1"/>
  <c r="M84" i="1"/>
  <c r="N84" i="1"/>
  <c r="J139" i="1"/>
  <c r="K139" i="1"/>
  <c r="J131" i="1"/>
  <c r="J124" i="1"/>
  <c r="K124" i="1"/>
  <c r="J106" i="1"/>
  <c r="K106" i="1"/>
  <c r="J66" i="1"/>
  <c r="J80" i="1"/>
  <c r="J84" i="1" s="1"/>
  <c r="K80" i="1"/>
  <c r="K84" i="1" s="1"/>
  <c r="K66" i="1"/>
  <c r="K54" i="1"/>
  <c r="K53" i="1"/>
  <c r="J23" i="1"/>
  <c r="K23" i="1"/>
  <c r="J19" i="1"/>
  <c r="E74" i="1"/>
  <c r="F74" i="1"/>
  <c r="G74" i="1"/>
  <c r="H74" i="1"/>
  <c r="I74" i="1"/>
  <c r="J74" i="1"/>
  <c r="K74" i="1"/>
  <c r="L74" i="1"/>
  <c r="M74" i="1"/>
  <c r="N74" i="1"/>
  <c r="N106" i="1"/>
  <c r="N108" i="1" s="1"/>
  <c r="N131" i="1"/>
  <c r="N124" i="1"/>
  <c r="L54" i="1"/>
  <c r="L53" i="1"/>
  <c r="M53" i="1"/>
  <c r="M54" i="1"/>
  <c r="N54" i="1"/>
  <c r="N53" i="1"/>
  <c r="L131" i="1"/>
  <c r="M131" i="1"/>
  <c r="L124" i="1"/>
  <c r="M124" i="1"/>
  <c r="L106" i="1"/>
  <c r="M106" i="1"/>
  <c r="L23" i="1"/>
  <c r="G31" i="2" l="1"/>
  <c r="G25" i="2"/>
  <c r="I31" i="2"/>
  <c r="I25" i="2"/>
  <c r="O31" i="2"/>
  <c r="N31" i="2"/>
  <c r="M31" i="2"/>
  <c r="L31" i="2"/>
  <c r="H31" i="2"/>
  <c r="H25" i="2"/>
  <c r="K31" i="2"/>
  <c r="K25" i="2"/>
  <c r="J31" i="2"/>
  <c r="J25" i="2"/>
  <c r="P31" i="2"/>
  <c r="P25" i="2"/>
  <c r="G39" i="2"/>
  <c r="N23" i="2"/>
  <c r="N25" i="2" s="1"/>
  <c r="L64" i="1"/>
  <c r="L23" i="2"/>
  <c r="L25" i="2" s="1"/>
  <c r="J64" i="1"/>
  <c r="M23" i="2"/>
  <c r="M25" i="2" s="1"/>
  <c r="K64" i="1"/>
  <c r="D59" i="2"/>
  <c r="I11" i="4"/>
  <c r="O23" i="2"/>
  <c r="O25" i="2" s="1"/>
  <c r="M165" i="2"/>
  <c r="G165" i="2"/>
  <c r="H165" i="2"/>
  <c r="N170" i="2"/>
  <c r="J165" i="2"/>
  <c r="I170" i="2"/>
  <c r="N165" i="2"/>
  <c r="K165" i="2"/>
  <c r="M170" i="2"/>
  <c r="L165" i="2"/>
  <c r="L170" i="2"/>
  <c r="I165" i="2"/>
  <c r="K170" i="2"/>
  <c r="J170" i="2"/>
  <c r="H170" i="2"/>
  <c r="G170" i="2"/>
  <c r="P165" i="2"/>
  <c r="O165" i="2"/>
  <c r="P170" i="2"/>
  <c r="O170" i="2"/>
  <c r="O99" i="2"/>
  <c r="O39" i="2" s="1"/>
  <c r="P99" i="2"/>
  <c r="P39" i="2" s="1"/>
  <c r="N99" i="2"/>
  <c r="N39" i="2" s="1"/>
  <c r="M99" i="2"/>
  <c r="M39" i="2" s="1"/>
  <c r="L99" i="2"/>
  <c r="L39" i="2" s="1"/>
  <c r="K99" i="2"/>
  <c r="K39" i="2" s="1"/>
  <c r="J99" i="2"/>
  <c r="J39" i="2" s="1"/>
  <c r="I99" i="2"/>
  <c r="I39" i="2" s="1"/>
  <c r="H99" i="2"/>
  <c r="H39" i="2" s="1"/>
  <c r="K32" i="2"/>
  <c r="N32" i="2"/>
  <c r="I32" i="2"/>
  <c r="H32" i="2"/>
  <c r="P32" i="2"/>
  <c r="G32" i="2"/>
  <c r="O32" i="2"/>
  <c r="M32" i="2"/>
  <c r="L32" i="2"/>
  <c r="J32" i="2"/>
  <c r="L68" i="2"/>
  <c r="M68" i="2"/>
  <c r="N68" i="2"/>
  <c r="O68" i="2"/>
  <c r="P68" i="2"/>
  <c r="R166" i="2" l="1"/>
  <c r="R66" i="2" s="1" a="1"/>
  <c r="R66" i="2" s="1"/>
  <c r="Q171" i="2"/>
  <c r="Q71" i="2" s="1" a="1"/>
  <c r="Q71" i="2" s="1"/>
  <c r="S166" i="2" l="1"/>
  <c r="S66" i="2" s="1" a="1"/>
  <c r="S66" i="2" s="1"/>
  <c r="R171" i="2"/>
  <c r="R71" i="2" s="1" a="1"/>
  <c r="R71" i="2" s="1"/>
  <c r="T166" i="2" l="1"/>
  <c r="T66" i="2" s="1" a="1"/>
  <c r="T66" i="2" s="1"/>
  <c r="S171" i="2"/>
  <c r="S71" i="2" s="1" a="1"/>
  <c r="S71" i="2" s="1"/>
  <c r="H36" i="2"/>
  <c r="I36" i="2"/>
  <c r="J36" i="2"/>
  <c r="K36" i="2"/>
  <c r="L36" i="2"/>
  <c r="M36" i="2"/>
  <c r="N36" i="2"/>
  <c r="O36" i="2"/>
  <c r="P36" i="2"/>
  <c r="G36" i="2"/>
  <c r="G142" i="2" s="1"/>
  <c r="H35" i="2"/>
  <c r="I35" i="2"/>
  <c r="J35" i="2"/>
  <c r="K35" i="2"/>
  <c r="L35" i="2"/>
  <c r="M35" i="2"/>
  <c r="N35" i="2"/>
  <c r="O35" i="2"/>
  <c r="P35" i="2"/>
  <c r="P52" i="2" s="1"/>
  <c r="G35" i="2"/>
  <c r="H28" i="2"/>
  <c r="H125" i="2" s="1"/>
  <c r="H68" i="2" s="1"/>
  <c r="I28" i="2"/>
  <c r="I125" i="2" s="1"/>
  <c r="I68" i="2" s="1"/>
  <c r="J28" i="2"/>
  <c r="J125" i="2" s="1"/>
  <c r="J68" i="2" s="1"/>
  <c r="K28" i="2"/>
  <c r="K125" i="2" s="1"/>
  <c r="K68" i="2" s="1"/>
  <c r="L28" i="2"/>
  <c r="L125" i="2" s="1"/>
  <c r="M28" i="2"/>
  <c r="M125" i="2" s="1"/>
  <c r="N28" i="2"/>
  <c r="N125" i="2" s="1"/>
  <c r="O28" i="2"/>
  <c r="O125" i="2" s="1"/>
  <c r="P28" i="2"/>
  <c r="P125" i="2" s="1"/>
  <c r="G28" i="2"/>
  <c r="G125" i="2" s="1"/>
  <c r="G68" i="2" s="1"/>
  <c r="H33" i="2"/>
  <c r="H57" i="2" s="1"/>
  <c r="I33" i="2"/>
  <c r="I57" i="2" s="1"/>
  <c r="J33" i="2"/>
  <c r="J57" i="2" s="1"/>
  <c r="K33" i="2"/>
  <c r="K57" i="2" s="1"/>
  <c r="L33" i="2"/>
  <c r="L57" i="2" s="1"/>
  <c r="L131" i="2" s="1"/>
  <c r="M33" i="2"/>
  <c r="M57" i="2" s="1"/>
  <c r="M131" i="2" s="1"/>
  <c r="N33" i="2"/>
  <c r="N57" i="2" s="1"/>
  <c r="N131" i="2" s="1"/>
  <c r="O33" i="2"/>
  <c r="O57" i="2" s="1"/>
  <c r="O131" i="2" s="1"/>
  <c r="P33" i="2"/>
  <c r="P57" i="2" s="1"/>
  <c r="P131" i="2" s="1"/>
  <c r="G33" i="2"/>
  <c r="G57" i="2" s="1"/>
  <c r="H15" i="2"/>
  <c r="I15" i="2"/>
  <c r="J15" i="2"/>
  <c r="K15" i="2"/>
  <c r="L15" i="2"/>
  <c r="M15" i="2"/>
  <c r="N15" i="2"/>
  <c r="O15" i="2"/>
  <c r="P15" i="2"/>
  <c r="G15" i="2"/>
  <c r="H12" i="2"/>
  <c r="I12" i="2"/>
  <c r="J12" i="2"/>
  <c r="K12" i="2"/>
  <c r="L12" i="2"/>
  <c r="M12" i="2"/>
  <c r="N12" i="2"/>
  <c r="O12" i="2"/>
  <c r="P12" i="2"/>
  <c r="G12" i="2"/>
  <c r="H8" i="2"/>
  <c r="I8" i="2"/>
  <c r="J8" i="2"/>
  <c r="K8" i="2"/>
  <c r="L8" i="2"/>
  <c r="M8" i="2"/>
  <c r="N8" i="2"/>
  <c r="O8" i="2"/>
  <c r="P8" i="2"/>
  <c r="G8" i="2"/>
  <c r="G5" i="2"/>
  <c r="H5" i="2"/>
  <c r="I5" i="2"/>
  <c r="J5" i="2"/>
  <c r="K5" i="2"/>
  <c r="L5" i="2"/>
  <c r="L177" i="2" s="1"/>
  <c r="M5" i="2"/>
  <c r="M177" i="2" s="1"/>
  <c r="N5" i="2"/>
  <c r="N177" i="2" s="1"/>
  <c r="O5" i="2"/>
  <c r="O177" i="2" s="1"/>
  <c r="P5" i="2"/>
  <c r="F142" i="1"/>
  <c r="G142" i="1"/>
  <c r="H142" i="1"/>
  <c r="I142" i="1"/>
  <c r="J142" i="1"/>
  <c r="K142" i="1"/>
  <c r="L142" i="1"/>
  <c r="M142" i="1"/>
  <c r="N142" i="1"/>
  <c r="E142" i="1"/>
  <c r="F133" i="1"/>
  <c r="G133" i="1"/>
  <c r="H133" i="1"/>
  <c r="I133" i="1"/>
  <c r="J133" i="1"/>
  <c r="K133" i="1"/>
  <c r="L133" i="1"/>
  <c r="M133" i="1"/>
  <c r="N133" i="1"/>
  <c r="E133" i="1"/>
  <c r="F124" i="1"/>
  <c r="G124" i="1"/>
  <c r="E124" i="1"/>
  <c r="F108" i="1"/>
  <c r="G108" i="1"/>
  <c r="I108" i="1"/>
  <c r="J108" i="1"/>
  <c r="K108" i="1"/>
  <c r="L108" i="1"/>
  <c r="M108" i="1"/>
  <c r="E108" i="1"/>
  <c r="F97" i="1"/>
  <c r="G97" i="1"/>
  <c r="H97" i="1"/>
  <c r="I97" i="1"/>
  <c r="J97" i="1"/>
  <c r="K97" i="1"/>
  <c r="L97" i="1"/>
  <c r="M97" i="1"/>
  <c r="N97" i="1"/>
  <c r="E97" i="1"/>
  <c r="N87" i="1"/>
  <c r="M87" i="1" s="1"/>
  <c r="L87" i="1" s="1"/>
  <c r="K87" i="1" s="1"/>
  <c r="J87" i="1" s="1"/>
  <c r="I87" i="1" s="1"/>
  <c r="H87" i="1" s="1"/>
  <c r="G87" i="1" s="1"/>
  <c r="F87" i="1" s="1"/>
  <c r="E87" i="1" s="1"/>
  <c r="N61" i="1"/>
  <c r="M61" i="1" s="1"/>
  <c r="L61" i="1" s="1"/>
  <c r="K61" i="1" s="1"/>
  <c r="J61" i="1" s="1"/>
  <c r="I61" i="1" s="1"/>
  <c r="H61" i="1" s="1"/>
  <c r="G61" i="1" s="1"/>
  <c r="F61" i="1" s="1"/>
  <c r="E61" i="1" s="1"/>
  <c r="F34" i="1"/>
  <c r="G34" i="1"/>
  <c r="H34" i="1"/>
  <c r="I34" i="1"/>
  <c r="J34" i="1"/>
  <c r="K34" i="1"/>
  <c r="L34" i="1"/>
  <c r="M34" i="1"/>
  <c r="N34" i="1"/>
  <c r="E34" i="1"/>
  <c r="F15" i="1"/>
  <c r="G15" i="1"/>
  <c r="H15" i="1"/>
  <c r="I15" i="1"/>
  <c r="J15" i="1"/>
  <c r="K15" i="1"/>
  <c r="L15" i="1"/>
  <c r="M15" i="1"/>
  <c r="N15" i="1"/>
  <c r="E15" i="1"/>
  <c r="F24" i="1"/>
  <c r="G24" i="1"/>
  <c r="I24" i="1"/>
  <c r="J24" i="1"/>
  <c r="K24" i="1"/>
  <c r="L24" i="1"/>
  <c r="M24" i="1"/>
  <c r="N24" i="1"/>
  <c r="E24" i="1"/>
  <c r="N11" i="1"/>
  <c r="U166" i="2" l="1"/>
  <c r="U66" i="2" s="1" a="1"/>
  <c r="U66" i="2" s="1"/>
  <c r="T171" i="2"/>
  <c r="T71" i="2" s="1" a="1"/>
  <c r="T71" i="2" s="1"/>
  <c r="P101" i="2"/>
  <c r="Q101" i="2" s="1"/>
  <c r="R101" i="2" s="1"/>
  <c r="S101" i="2" s="1"/>
  <c r="T101" i="2" s="1"/>
  <c r="U101" i="2" s="1"/>
  <c r="V100" i="2" s="1"/>
  <c r="W100" i="2" s="1"/>
  <c r="X100" i="2" s="1"/>
  <c r="Y100" i="2" s="1"/>
  <c r="Z100" i="2" s="1"/>
  <c r="P177" i="2"/>
  <c r="Q180" i="2" s="1"/>
  <c r="R180" i="2" s="1"/>
  <c r="P161" i="2"/>
  <c r="P162" i="2" s="1"/>
  <c r="P142" i="2"/>
  <c r="O142" i="2"/>
  <c r="N142" i="2"/>
  <c r="M142" i="2"/>
  <c r="L142" i="2"/>
  <c r="K142" i="2"/>
  <c r="J142" i="2"/>
  <c r="I142" i="2"/>
  <c r="H142" i="2"/>
  <c r="O182" i="2"/>
  <c r="O198" i="2"/>
  <c r="L198" i="2"/>
  <c r="L182" i="2"/>
  <c r="P182" i="2"/>
  <c r="P198" i="2"/>
  <c r="Q201" i="2" s="1"/>
  <c r="R201" i="2" s="1"/>
  <c r="S201" i="2" s="1"/>
  <c r="T201" i="2" s="1"/>
  <c r="U201" i="2" s="1"/>
  <c r="V200" i="2" s="1"/>
  <c r="W200" i="2" s="1"/>
  <c r="X200" i="2" s="1"/>
  <c r="Y200" i="2" s="1"/>
  <c r="Z200" i="2" s="1"/>
  <c r="M182" i="2"/>
  <c r="M198" i="2"/>
  <c r="N182" i="2"/>
  <c r="N198" i="2"/>
  <c r="M192" i="2"/>
  <c r="J192" i="2"/>
  <c r="N192" i="2"/>
  <c r="L192" i="2"/>
  <c r="I192" i="2"/>
  <c r="P192" i="2"/>
  <c r="O192" i="2"/>
  <c r="K192" i="2"/>
  <c r="H192" i="2"/>
  <c r="G192" i="2"/>
  <c r="P62" i="2"/>
  <c r="Q62" i="2" s="1"/>
  <c r="R62" i="2" s="1"/>
  <c r="S62" i="2" s="1"/>
  <c r="T62" i="2" s="1"/>
  <c r="U62" i="2" s="1"/>
  <c r="V61" i="2" s="1"/>
  <c r="W61" i="2" s="1"/>
  <c r="X61" i="2" s="1"/>
  <c r="Y61" i="2" s="1"/>
  <c r="Z61" i="2" s="1"/>
  <c r="R193" i="2"/>
  <c r="R87" i="2" s="1" a="1"/>
  <c r="R87" i="2" s="1"/>
  <c r="P203" i="2"/>
  <c r="P208" i="2"/>
  <c r="P187" i="2"/>
  <c r="I182" i="2"/>
  <c r="I198" i="2"/>
  <c r="H198" i="2"/>
  <c r="H182" i="2"/>
  <c r="N187" i="2"/>
  <c r="N208" i="2"/>
  <c r="N203" i="2"/>
  <c r="L187" i="2"/>
  <c r="L208" i="2"/>
  <c r="L203" i="2"/>
  <c r="G187" i="2"/>
  <c r="G177" i="2"/>
  <c r="G203" i="2"/>
  <c r="G208" i="2"/>
  <c r="J198" i="2"/>
  <c r="J182" i="2"/>
  <c r="K187" i="2"/>
  <c r="K203" i="2"/>
  <c r="K208" i="2"/>
  <c r="K177" i="2"/>
  <c r="G182" i="2"/>
  <c r="G198" i="2"/>
  <c r="M203" i="2"/>
  <c r="M208" i="2"/>
  <c r="M187" i="2"/>
  <c r="J177" i="2"/>
  <c r="J203" i="2"/>
  <c r="J187" i="2"/>
  <c r="J208" i="2"/>
  <c r="H177" i="2"/>
  <c r="H203" i="2"/>
  <c r="H208" i="2"/>
  <c r="H187" i="2"/>
  <c r="O203" i="2"/>
  <c r="O208" i="2"/>
  <c r="O187" i="2"/>
  <c r="K182" i="2"/>
  <c r="K198" i="2"/>
  <c r="I177" i="2"/>
  <c r="I208" i="2"/>
  <c r="I187" i="2"/>
  <c r="I203" i="2"/>
  <c r="G52" i="2"/>
  <c r="G55" i="2" s="1"/>
  <c r="J103" i="2"/>
  <c r="O52" i="2"/>
  <c r="O55" i="2" s="1"/>
  <c r="O103" i="2"/>
  <c r="N52" i="2"/>
  <c r="N55" i="2" s="1"/>
  <c r="P103" i="2"/>
  <c r="K103" i="2"/>
  <c r="I103" i="2"/>
  <c r="L52" i="2"/>
  <c r="L55" i="2" s="1"/>
  <c r="K52" i="2"/>
  <c r="K131" i="2" s="1"/>
  <c r="J52" i="2"/>
  <c r="J55" i="2" s="1"/>
  <c r="I52" i="2"/>
  <c r="I55" i="2" s="1"/>
  <c r="H103" i="2"/>
  <c r="M52" i="2"/>
  <c r="H52" i="2"/>
  <c r="H55" i="2" s="1"/>
  <c r="L108" i="2"/>
  <c r="N103" i="2"/>
  <c r="M103" i="2"/>
  <c r="L103" i="2"/>
  <c r="K108" i="2"/>
  <c r="G118" i="2"/>
  <c r="J135" i="1"/>
  <c r="J108" i="2"/>
  <c r="I108" i="2"/>
  <c r="M11" i="1"/>
  <c r="O101" i="2" s="1"/>
  <c r="P49" i="2"/>
  <c r="Q49" i="2" s="1"/>
  <c r="R49" i="2" s="1"/>
  <c r="S49" i="2" s="1"/>
  <c r="T49" i="2" s="1"/>
  <c r="U49" i="2" s="1"/>
  <c r="V48" i="2" s="1"/>
  <c r="W48" i="2" s="1"/>
  <c r="X48" i="2" s="1"/>
  <c r="Y48" i="2" s="1"/>
  <c r="Z48" i="2" s="1"/>
  <c r="H135" i="1"/>
  <c r="K135" i="1"/>
  <c r="M108" i="2"/>
  <c r="I113" i="2"/>
  <c r="N118" i="2"/>
  <c r="L118" i="2"/>
  <c r="M118" i="2"/>
  <c r="O118" i="2"/>
  <c r="O113" i="2"/>
  <c r="N113" i="2"/>
  <c r="M113" i="2"/>
  <c r="I118" i="2"/>
  <c r="K118" i="2"/>
  <c r="P113" i="2"/>
  <c r="Q116" i="2" s="1"/>
  <c r="R116" i="2" s="1"/>
  <c r="S116" i="2" s="1"/>
  <c r="T116" i="2" s="1"/>
  <c r="U116" i="2" s="1"/>
  <c r="V115" i="2" s="1"/>
  <c r="W115" i="2" s="1"/>
  <c r="X115" i="2" s="1"/>
  <c r="Y115" i="2" s="1"/>
  <c r="Z115" i="2" s="1"/>
  <c r="P118" i="2"/>
  <c r="G10" i="2"/>
  <c r="G18" i="2" s="1"/>
  <c r="G26" i="2" s="1"/>
  <c r="G27" i="2" s="1"/>
  <c r="J118" i="2"/>
  <c r="P108" i="2"/>
  <c r="Q109" i="2" s="1"/>
  <c r="R109" i="2" s="1"/>
  <c r="L113" i="2"/>
  <c r="H118" i="2"/>
  <c r="K113" i="2"/>
  <c r="N108" i="2"/>
  <c r="J113" i="2"/>
  <c r="O108" i="2"/>
  <c r="H113" i="2"/>
  <c r="H108" i="2"/>
  <c r="G113" i="2"/>
  <c r="G108" i="2"/>
  <c r="I10" i="2"/>
  <c r="I18" i="2" s="1"/>
  <c r="I26" i="2" s="1"/>
  <c r="I27" i="2" s="1"/>
  <c r="O10" i="2"/>
  <c r="O18" i="2" s="1"/>
  <c r="O26" i="2" s="1"/>
  <c r="O27" i="2" s="1"/>
  <c r="P4" i="2"/>
  <c r="P10" i="2"/>
  <c r="P18" i="2" s="1"/>
  <c r="N10" i="2"/>
  <c r="N18" i="2" s="1"/>
  <c r="N26" i="2" s="1"/>
  <c r="N27" i="2" s="1"/>
  <c r="M10" i="2"/>
  <c r="M18" i="2" s="1"/>
  <c r="M26" i="2" s="1"/>
  <c r="M27" i="2" s="1"/>
  <c r="L10" i="2"/>
  <c r="L18" i="2" s="1"/>
  <c r="L26" i="2" s="1"/>
  <c r="L27" i="2" s="1"/>
  <c r="J10" i="2"/>
  <c r="J18" i="2" s="1"/>
  <c r="J26" i="2" s="1"/>
  <c r="H10" i="2"/>
  <c r="H18" i="2" s="1"/>
  <c r="H26" i="2" s="1"/>
  <c r="H27" i="2" s="1"/>
  <c r="K10" i="2"/>
  <c r="K18" i="2" s="1"/>
  <c r="K26" i="2" s="1"/>
  <c r="K27" i="2" s="1"/>
  <c r="I135" i="1"/>
  <c r="M135" i="1"/>
  <c r="M110" i="1"/>
  <c r="L110" i="1"/>
  <c r="L135" i="1"/>
  <c r="G135" i="1"/>
  <c r="E135" i="1"/>
  <c r="N135" i="1"/>
  <c r="F135" i="1"/>
  <c r="E110" i="1"/>
  <c r="N110" i="1"/>
  <c r="J110" i="1"/>
  <c r="I110" i="1"/>
  <c r="K26" i="1"/>
  <c r="G110" i="1"/>
  <c r="K110" i="1"/>
  <c r="H110" i="1"/>
  <c r="F110" i="1"/>
  <c r="E26" i="1"/>
  <c r="N26" i="1"/>
  <c r="J26" i="1"/>
  <c r="I26" i="1"/>
  <c r="M26" i="1"/>
  <c r="H26" i="1"/>
  <c r="G26" i="1"/>
  <c r="L26" i="1"/>
  <c r="F26" i="1"/>
  <c r="J124" i="2" l="1"/>
  <c r="J27" i="2"/>
  <c r="Q204" i="2"/>
  <c r="Q199" i="2"/>
  <c r="R199" i="2" s="1"/>
  <c r="Q200" i="2"/>
  <c r="S180" i="2"/>
  <c r="Q178" i="2"/>
  <c r="R178" i="2" s="1"/>
  <c r="S178" i="2" s="1"/>
  <c r="T178" i="2" s="1"/>
  <c r="U178" i="2" s="1"/>
  <c r="V177" i="2" s="1"/>
  <c r="W177" i="2" s="1"/>
  <c r="X177" i="2" s="1"/>
  <c r="Y177" i="2" s="1"/>
  <c r="Z177" i="2" s="1"/>
  <c r="Q179" i="2"/>
  <c r="R179" i="2" s="1"/>
  <c r="S179" i="2" s="1"/>
  <c r="T179" i="2" s="1"/>
  <c r="U179" i="2" s="1"/>
  <c r="V178" i="2" s="1"/>
  <c r="W178" i="2" s="1"/>
  <c r="X178" i="2" s="1"/>
  <c r="Y178" i="2" s="1"/>
  <c r="Z178" i="2" s="1"/>
  <c r="Q114" i="2"/>
  <c r="R9" i="2" a="1"/>
  <c r="R9" i="2" s="1"/>
  <c r="S109" i="2"/>
  <c r="Q9" i="2" a="1"/>
  <c r="Q9" i="2" s="1"/>
  <c r="Q185" i="2"/>
  <c r="V165" i="2"/>
  <c r="V65" i="2" s="1" a="1"/>
  <c r="V65" i="2" s="1"/>
  <c r="S193" i="2"/>
  <c r="S87" i="2" s="1" a="1"/>
  <c r="S87" i="2" s="1"/>
  <c r="U171" i="2"/>
  <c r="U71" i="2" s="1" a="1"/>
  <c r="U71" i="2" s="1"/>
  <c r="P164" i="2"/>
  <c r="Q164" i="2" s="1"/>
  <c r="R164" i="2" s="1"/>
  <c r="S164" i="2" s="1"/>
  <c r="T164" i="2" s="1"/>
  <c r="U164" i="2" s="1"/>
  <c r="V163" i="2" s="1"/>
  <c r="W163" i="2" s="1"/>
  <c r="X163" i="2" s="1"/>
  <c r="Y163" i="2" s="1"/>
  <c r="Z163" i="2" s="1"/>
  <c r="P175" i="2"/>
  <c r="Q175" i="2" s="1"/>
  <c r="R175" i="2" s="1"/>
  <c r="S175" i="2" s="1"/>
  <c r="T175" i="2" s="1"/>
  <c r="U175" i="2" s="1"/>
  <c r="V174" i="2" s="1"/>
  <c r="W174" i="2" s="1"/>
  <c r="X174" i="2" s="1"/>
  <c r="Y174" i="2" s="1"/>
  <c r="Z174" i="2" s="1"/>
  <c r="P130" i="2"/>
  <c r="Q130" i="2" s="1"/>
  <c r="R130" i="2" s="1"/>
  <c r="S130" i="2" s="1"/>
  <c r="T130" i="2" s="1"/>
  <c r="U130" i="2" s="1"/>
  <c r="V129" i="2" s="1"/>
  <c r="W129" i="2" s="1"/>
  <c r="X129" i="2" s="1"/>
  <c r="Y129" i="2" s="1"/>
  <c r="Z129" i="2" s="1"/>
  <c r="P141" i="2"/>
  <c r="Q141" i="2" s="1"/>
  <c r="R141" i="2" s="1"/>
  <c r="S141" i="2" s="1"/>
  <c r="T141" i="2" s="1"/>
  <c r="U141" i="2" s="1"/>
  <c r="V140" i="2" s="1"/>
  <c r="W140" i="2" s="1"/>
  <c r="X140" i="2" s="1"/>
  <c r="Y140" i="2" s="1"/>
  <c r="Z140" i="2" s="1"/>
  <c r="P75" i="2"/>
  <c r="Q75" i="2" s="1"/>
  <c r="R75" i="2" s="1"/>
  <c r="S75" i="2" s="1"/>
  <c r="T75" i="2" s="1"/>
  <c r="U75" i="2" s="1"/>
  <c r="V74" i="2" s="1"/>
  <c r="W74" i="2" s="1"/>
  <c r="X74" i="2" s="1"/>
  <c r="Y74" i="2" s="1"/>
  <c r="Z74" i="2" s="1"/>
  <c r="N27" i="1"/>
  <c r="P19" i="2"/>
  <c r="P26" i="2"/>
  <c r="P27" i="2" s="1"/>
  <c r="E36" i="1"/>
  <c r="E40" i="1" s="1"/>
  <c r="E46" i="1" s="1"/>
  <c r="E63" i="1" s="1"/>
  <c r="E72" i="1" s="1"/>
  <c r="E76" i="1" s="1"/>
  <c r="E27" i="1"/>
  <c r="K36" i="1"/>
  <c r="M73" i="2" s="1"/>
  <c r="K27" i="1"/>
  <c r="F36" i="1"/>
  <c r="H73" i="2" s="1"/>
  <c r="F27" i="1"/>
  <c r="G36" i="1"/>
  <c r="I73" i="2" s="1"/>
  <c r="G27" i="1"/>
  <c r="L36" i="1"/>
  <c r="N73" i="2" s="1"/>
  <c r="L27" i="1"/>
  <c r="I36" i="1"/>
  <c r="K73" i="2" s="1"/>
  <c r="I27" i="1"/>
  <c r="J36" i="1"/>
  <c r="L73" i="2" s="1"/>
  <c r="J27" i="1"/>
  <c r="H36" i="1"/>
  <c r="J73" i="2" s="1"/>
  <c r="H27" i="1"/>
  <c r="M36" i="1"/>
  <c r="O73" i="2" s="1"/>
  <c r="M27" i="1"/>
  <c r="Q209" i="2"/>
  <c r="N36" i="1"/>
  <c r="N40" i="1" s="1"/>
  <c r="N46" i="1" s="1"/>
  <c r="N50" i="1" s="1"/>
  <c r="D24" i="4"/>
  <c r="H24" i="4" s="1"/>
  <c r="Q4" i="2"/>
  <c r="N30" i="2"/>
  <c r="N41" i="2" s="1"/>
  <c r="N19" i="2"/>
  <c r="M30" i="2"/>
  <c r="M41" i="2" s="1"/>
  <c r="M19" i="2"/>
  <c r="O30" i="2"/>
  <c r="O41" i="2" s="1"/>
  <c r="O19" i="2"/>
  <c r="G124" i="2"/>
  <c r="G126" i="2" s="1"/>
  <c r="G19" i="2"/>
  <c r="I124" i="2"/>
  <c r="I126" i="2" s="1"/>
  <c r="I19" i="2"/>
  <c r="K124" i="2"/>
  <c r="K126" i="2" s="1"/>
  <c r="K19" i="2"/>
  <c r="H124" i="2"/>
  <c r="H126" i="2" s="1"/>
  <c r="H19" i="2"/>
  <c r="J30" i="2"/>
  <c r="J41" i="2" s="1"/>
  <c r="J19" i="2"/>
  <c r="L30" i="2"/>
  <c r="L41" i="2" s="1"/>
  <c r="L19" i="2"/>
  <c r="O62" i="2"/>
  <c r="Q94" i="2" a="1"/>
  <c r="Q94" i="2" s="1"/>
  <c r="Q188" i="2"/>
  <c r="Q84" i="2" s="1" a="1"/>
  <c r="Q84" i="2" s="1"/>
  <c r="Q119" i="2"/>
  <c r="J131" i="2"/>
  <c r="H131" i="2"/>
  <c r="G131" i="2"/>
  <c r="I131" i="2"/>
  <c r="M55" i="2"/>
  <c r="K55" i="2"/>
  <c r="N136" i="2"/>
  <c r="I136" i="2"/>
  <c r="O136" i="2"/>
  <c r="G136" i="2"/>
  <c r="J136" i="2"/>
  <c r="H136" i="2"/>
  <c r="H60" i="2"/>
  <c r="K136" i="2"/>
  <c r="L136" i="2"/>
  <c r="M136" i="2"/>
  <c r="J144" i="1"/>
  <c r="H144" i="1"/>
  <c r="I144" i="1"/>
  <c r="N144" i="1"/>
  <c r="E144" i="1"/>
  <c r="L11" i="1"/>
  <c r="N101" i="2" s="1"/>
  <c r="O49" i="2"/>
  <c r="O4" i="2"/>
  <c r="K144" i="1"/>
  <c r="L144" i="1"/>
  <c r="M144" i="1"/>
  <c r="G144" i="1"/>
  <c r="F144" i="1"/>
  <c r="Q78" i="2" l="1" a="1"/>
  <c r="Q78" i="2" s="1"/>
  <c r="R78" i="2" a="1"/>
  <c r="R78" i="2" s="1"/>
  <c r="R200" i="2"/>
  <c r="S199" i="2"/>
  <c r="R185" i="2"/>
  <c r="S185" i="2" s="1"/>
  <c r="T185" i="2" s="1"/>
  <c r="U185" i="2" s="1"/>
  <c r="V184" i="2" s="1"/>
  <c r="W184" i="2" s="1"/>
  <c r="X184" i="2" s="1"/>
  <c r="Y184" i="2" s="1"/>
  <c r="Z184" i="2" s="1"/>
  <c r="Q81" i="2" a="1"/>
  <c r="Q81" i="2" s="1"/>
  <c r="T180" i="2"/>
  <c r="S78" i="2" a="1"/>
  <c r="S78" i="2" s="1"/>
  <c r="Q13" i="2" a="1"/>
  <c r="Q13" i="2" s="1"/>
  <c r="R114" i="2"/>
  <c r="S114" i="2" s="1"/>
  <c r="T114" i="2" s="1"/>
  <c r="U114" i="2" s="1"/>
  <c r="V113" i="2" s="1"/>
  <c r="W113" i="2" s="1"/>
  <c r="X113" i="2" s="1"/>
  <c r="Y113" i="2" s="1"/>
  <c r="Z113" i="2" s="1"/>
  <c r="S9" i="2" a="1"/>
  <c r="S9" i="2" s="1"/>
  <c r="T109" i="2"/>
  <c r="Q120" i="2"/>
  <c r="Q157" i="2" a="1"/>
  <c r="Q157" i="2" s="1"/>
  <c r="Q210" i="2"/>
  <c r="Q211" i="2" s="1"/>
  <c r="Q97" i="2" s="1" a="1"/>
  <c r="Q97" i="2" s="1"/>
  <c r="Q91" i="2" a="1"/>
  <c r="Q91" i="2" s="1"/>
  <c r="W165" i="2"/>
  <c r="W65" i="2" s="1" a="1"/>
  <c r="W65" i="2" s="1"/>
  <c r="V170" i="2"/>
  <c r="V70" i="2" s="1" a="1"/>
  <c r="V70" i="2" s="1"/>
  <c r="T193" i="2"/>
  <c r="T87" i="2" s="1" a="1"/>
  <c r="T87" i="2" s="1"/>
  <c r="O164" i="2"/>
  <c r="O175" i="2"/>
  <c r="O130" i="2"/>
  <c r="O141" i="2"/>
  <c r="O75" i="2"/>
  <c r="R4" i="2"/>
  <c r="H40" i="1"/>
  <c r="H46" i="1" s="1"/>
  <c r="H63" i="1" s="1"/>
  <c r="H72" i="1" s="1"/>
  <c r="H76" i="1" s="1"/>
  <c r="M40" i="1"/>
  <c r="M46" i="1" s="1"/>
  <c r="M63" i="1" s="1"/>
  <c r="M72" i="1" s="1"/>
  <c r="M76" i="1" s="1"/>
  <c r="K40" i="1"/>
  <c r="K46" i="1" s="1"/>
  <c r="K50" i="1" s="1"/>
  <c r="K57" i="1" s="1"/>
  <c r="G40" i="1"/>
  <c r="G46" i="1" s="1"/>
  <c r="G50" i="1" s="1"/>
  <c r="G58" i="1" s="1"/>
  <c r="F40" i="1"/>
  <c r="F46" i="1" s="1"/>
  <c r="F63" i="1" s="1"/>
  <c r="F72" i="1" s="1"/>
  <c r="F76" i="1" s="1"/>
  <c r="L40" i="1"/>
  <c r="L46" i="1" s="1"/>
  <c r="L50" i="1" s="1"/>
  <c r="L58" i="1" s="1"/>
  <c r="J40" i="1"/>
  <c r="J46" i="1" s="1"/>
  <c r="J50" i="1" s="1"/>
  <c r="J57" i="1" s="1"/>
  <c r="I40" i="1"/>
  <c r="I46" i="1" s="1"/>
  <c r="I50" i="1" s="1"/>
  <c r="I58" i="1" s="1"/>
  <c r="R119" i="2"/>
  <c r="O124" i="2"/>
  <c r="O126" i="2" s="1"/>
  <c r="N124" i="2"/>
  <c r="N126" i="2" s="1"/>
  <c r="H25" i="4"/>
  <c r="H26" i="4"/>
  <c r="H27" i="4" s="1"/>
  <c r="H28" i="4" s="1"/>
  <c r="E18" i="4" s="1"/>
  <c r="G30" i="2"/>
  <c r="G41" i="2" s="1"/>
  <c r="J126" i="2"/>
  <c r="I30" i="2"/>
  <c r="I41" i="2" s="1"/>
  <c r="M124" i="2"/>
  <c r="M126" i="2" s="1"/>
  <c r="K30" i="2"/>
  <c r="K41" i="2" s="1"/>
  <c r="L124" i="2"/>
  <c r="L126" i="2" s="1"/>
  <c r="H30" i="2"/>
  <c r="H41" i="2" s="1"/>
  <c r="P124" i="2"/>
  <c r="P73" i="2" s="1"/>
  <c r="Q63" i="2" s="1"/>
  <c r="Q65" i="2" s="1"/>
  <c r="N62" i="2"/>
  <c r="R188" i="2"/>
  <c r="R84" i="2" s="1" a="1"/>
  <c r="R84" i="2" s="1"/>
  <c r="R209" i="2"/>
  <c r="R210" i="2" s="1"/>
  <c r="R211" i="2" s="1"/>
  <c r="R94" i="2" a="1"/>
  <c r="R94" i="2" s="1"/>
  <c r="P30" i="2"/>
  <c r="P41" i="2" s="1"/>
  <c r="E50" i="1"/>
  <c r="E58" i="1" s="1"/>
  <c r="K60" i="2"/>
  <c r="J60" i="2"/>
  <c r="I60" i="2"/>
  <c r="N60" i="2"/>
  <c r="O60" i="2"/>
  <c r="L60" i="2"/>
  <c r="M60" i="2"/>
  <c r="K11" i="1"/>
  <c r="M101" i="2" s="1"/>
  <c r="N49" i="2"/>
  <c r="N4" i="2"/>
  <c r="N63" i="1"/>
  <c r="N72" i="1" s="1"/>
  <c r="N76" i="1" s="1"/>
  <c r="N57" i="1"/>
  <c r="N58" i="1"/>
  <c r="Q160" i="2" l="1"/>
  <c r="S200" i="2"/>
  <c r="R81" i="2" a="1"/>
  <c r="R81" i="2" s="1"/>
  <c r="T199" i="2"/>
  <c r="T78" i="2" a="1"/>
  <c r="T78" i="2" s="1"/>
  <c r="U180" i="2"/>
  <c r="U109" i="2"/>
  <c r="V108" i="2" s="1"/>
  <c r="W108" i="2" s="1"/>
  <c r="X108" i="2" s="1"/>
  <c r="Y108" i="2" s="1"/>
  <c r="Z108" i="2" s="1"/>
  <c r="T9" i="2" a="1"/>
  <c r="T9" i="2" s="1"/>
  <c r="R13" i="2" a="1"/>
  <c r="R13" i="2" s="1"/>
  <c r="R120" i="2"/>
  <c r="R121" i="2" s="1"/>
  <c r="Q121" i="2"/>
  <c r="Q16" i="2" s="1" a="1"/>
  <c r="Q16" i="2" s="1"/>
  <c r="R97" i="2" a="1"/>
  <c r="R97" i="2" s="1"/>
  <c r="R91" i="2" a="1"/>
  <c r="R91" i="2" s="1"/>
  <c r="S81" i="2" a="1"/>
  <c r="S81" i="2" s="1"/>
  <c r="R157" i="2" a="1"/>
  <c r="R157" i="2" s="1"/>
  <c r="X165" i="2"/>
  <c r="X65" i="2" s="1" a="1"/>
  <c r="X65" i="2" s="1"/>
  <c r="W170" i="2"/>
  <c r="W70" i="2" s="1" a="1"/>
  <c r="W70" i="2" s="1"/>
  <c r="U193" i="2"/>
  <c r="U87" i="2" s="1" a="1"/>
  <c r="U87" i="2" s="1"/>
  <c r="Q70" i="2"/>
  <c r="Q37" i="2" s="1"/>
  <c r="N164" i="2"/>
  <c r="N175" i="2"/>
  <c r="N130" i="2"/>
  <c r="N141" i="2"/>
  <c r="N75" i="2"/>
  <c r="M50" i="1"/>
  <c r="M58" i="1" s="1"/>
  <c r="S4" i="2"/>
  <c r="H50" i="1"/>
  <c r="H57" i="1" s="1"/>
  <c r="K63" i="1"/>
  <c r="K72" i="1" s="1"/>
  <c r="K76" i="1" s="1"/>
  <c r="K58" i="1"/>
  <c r="F50" i="1"/>
  <c r="F57" i="1" s="1"/>
  <c r="G57" i="1"/>
  <c r="L57" i="1"/>
  <c r="L63" i="1"/>
  <c r="L72" i="1" s="1"/>
  <c r="L76" i="1" s="1"/>
  <c r="J58" i="1"/>
  <c r="G63" i="1"/>
  <c r="G72" i="1" s="1"/>
  <c r="G76" i="1" s="1"/>
  <c r="J63" i="1"/>
  <c r="J72" i="1" s="1"/>
  <c r="J76" i="1" s="1"/>
  <c r="I57" i="1"/>
  <c r="I63" i="1"/>
  <c r="I72" i="1" s="1"/>
  <c r="I76" i="1" s="1"/>
  <c r="S119" i="2"/>
  <c r="I15" i="4"/>
  <c r="E21" i="4"/>
  <c r="I12" i="4" s="1"/>
  <c r="I13" i="4" s="1"/>
  <c r="P126" i="2"/>
  <c r="Q68" i="2"/>
  <c r="M62" i="2"/>
  <c r="S204" i="2"/>
  <c r="S94" i="2" s="1" a="1"/>
  <c r="S94" i="2" s="1"/>
  <c r="S209" i="2"/>
  <c r="S210" i="2" s="1"/>
  <c r="S211" i="2" s="1"/>
  <c r="S188" i="2"/>
  <c r="S84" i="2" s="1" a="1"/>
  <c r="S84" i="2" s="1"/>
  <c r="E57" i="1"/>
  <c r="J11" i="1"/>
  <c r="L101" i="2" s="1"/>
  <c r="M49" i="2"/>
  <c r="M4" i="2"/>
  <c r="Q161" i="2" l="1"/>
  <c r="Q36" i="2"/>
  <c r="T200" i="2"/>
  <c r="U199" i="2"/>
  <c r="U78" i="2" a="1"/>
  <c r="U78" i="2" s="1"/>
  <c r="V179" i="2"/>
  <c r="S13" i="2" a="1"/>
  <c r="S13" i="2" s="1"/>
  <c r="S120" i="2"/>
  <c r="S121" i="2" s="1"/>
  <c r="R16" i="2" a="1"/>
  <c r="R16" i="2" s="1"/>
  <c r="T157" i="2" a="1"/>
  <c r="T157" i="2" s="1"/>
  <c r="S157" i="2" a="1"/>
  <c r="S157" i="2" s="1"/>
  <c r="S97" i="2" a="1"/>
  <c r="S97" i="2" s="1"/>
  <c r="S91" i="2" a="1"/>
  <c r="S91" i="2" s="1"/>
  <c r="T81" i="2" a="1"/>
  <c r="T81" i="2" s="1"/>
  <c r="Y165" i="2"/>
  <c r="Y65" i="2" s="1" a="1"/>
  <c r="Y65" i="2" s="1"/>
  <c r="X170" i="2"/>
  <c r="X70" i="2" s="1" a="1"/>
  <c r="X70" i="2" s="1"/>
  <c r="V192" i="2"/>
  <c r="V86" i="2" s="1" a="1"/>
  <c r="V86" i="2" s="1"/>
  <c r="M57" i="1"/>
  <c r="M164" i="2"/>
  <c r="M175" i="2"/>
  <c r="M130" i="2"/>
  <c r="M141" i="2"/>
  <c r="M75" i="2"/>
  <c r="H58" i="1"/>
  <c r="T4" i="2"/>
  <c r="F58" i="1"/>
  <c r="T119" i="2"/>
  <c r="Q22" i="2"/>
  <c r="Q73" i="2"/>
  <c r="R63" i="2" s="1"/>
  <c r="R65" i="2" s="1"/>
  <c r="I14" i="4"/>
  <c r="D6" i="5"/>
  <c r="U157" i="2" a="1"/>
  <c r="U157" i="2" s="1"/>
  <c r="L62" i="2"/>
  <c r="T209" i="2"/>
  <c r="T210" i="2" s="1"/>
  <c r="T211" i="2" s="1"/>
  <c r="T188" i="2"/>
  <c r="T84" i="2" s="1" a="1"/>
  <c r="T84" i="2" s="1"/>
  <c r="T204" i="2"/>
  <c r="T94" i="2" s="1" a="1"/>
  <c r="T94" i="2" s="1"/>
  <c r="I11" i="1"/>
  <c r="K101" i="2" s="1"/>
  <c r="L49" i="2"/>
  <c r="L4" i="2"/>
  <c r="U200" i="2" l="1"/>
  <c r="V198" i="2"/>
  <c r="W179" i="2"/>
  <c r="V77" i="2" a="1"/>
  <c r="V77" i="2" s="1"/>
  <c r="T13" i="2" a="1"/>
  <c r="T13" i="2" s="1"/>
  <c r="T120" i="2"/>
  <c r="T121" i="2" s="1"/>
  <c r="S16" i="2" a="1"/>
  <c r="S16" i="2" s="1"/>
  <c r="T97" i="2" a="1"/>
  <c r="T97" i="2" s="1"/>
  <c r="T91" i="2" a="1"/>
  <c r="T91" i="2" s="1"/>
  <c r="U81" i="2" a="1"/>
  <c r="U81" i="2" s="1"/>
  <c r="V156" i="2" a="1"/>
  <c r="V156" i="2" s="1"/>
  <c r="Z165" i="2"/>
  <c r="Z65" i="2" s="1" a="1"/>
  <c r="Z65" i="2" s="1"/>
  <c r="Y170" i="2"/>
  <c r="Y70" i="2" s="1" a="1"/>
  <c r="Y70" i="2" s="1"/>
  <c r="W192" i="2"/>
  <c r="W86" i="2" s="1" a="1"/>
  <c r="W86" i="2" s="1"/>
  <c r="R70" i="2"/>
  <c r="R37" i="2" s="1"/>
  <c r="L164" i="2"/>
  <c r="L175" i="2"/>
  <c r="L130" i="2"/>
  <c r="L141" i="2"/>
  <c r="L75" i="2"/>
  <c r="U4" i="2"/>
  <c r="V4" i="2" s="1"/>
  <c r="W4" i="2" s="1"/>
  <c r="X4" i="2" s="1"/>
  <c r="Y4" i="2" s="1"/>
  <c r="Z4" i="2" s="1"/>
  <c r="Q32" i="2"/>
  <c r="U119" i="2"/>
  <c r="U120" i="2" s="1"/>
  <c r="U121" i="2" s="1"/>
  <c r="R68" i="2"/>
  <c r="H5" i="5"/>
  <c r="E12" i="4" s="1"/>
  <c r="E14" i="4" s="1"/>
  <c r="I16" i="4" s="1"/>
  <c r="I17" i="4" s="1"/>
  <c r="D9" i="2" s="1"/>
  <c r="Z44" i="2" s="1"/>
  <c r="D7" i="5"/>
  <c r="D10" i="5" s="1"/>
  <c r="K62" i="2"/>
  <c r="U188" i="2"/>
  <c r="U84" i="2" s="1" a="1"/>
  <c r="U84" i="2" s="1"/>
  <c r="U204" i="2"/>
  <c r="U94" i="2" s="1" a="1"/>
  <c r="U94" i="2" s="1"/>
  <c r="U209" i="2"/>
  <c r="U210" i="2" s="1"/>
  <c r="U211" i="2" s="1"/>
  <c r="H11" i="1"/>
  <c r="J101" i="2" s="1"/>
  <c r="K49" i="2"/>
  <c r="K4" i="2"/>
  <c r="K175" i="2" s="1"/>
  <c r="V199" i="2" l="1"/>
  <c r="W198" i="2"/>
  <c r="W77" i="2" a="1"/>
  <c r="W77" i="2" s="1"/>
  <c r="X179" i="2"/>
  <c r="U13" i="2" a="1"/>
  <c r="U13" i="2" s="1"/>
  <c r="T16" i="2" a="1"/>
  <c r="T16" i="2" s="1"/>
  <c r="U97" i="2" a="1"/>
  <c r="U97" i="2" s="1"/>
  <c r="U91" i="2" a="1"/>
  <c r="U91" i="2" s="1"/>
  <c r="V80" i="2" a="1"/>
  <c r="V80" i="2" s="1"/>
  <c r="W156" i="2" a="1"/>
  <c r="W156" i="2" s="1"/>
  <c r="Z170" i="2"/>
  <c r="Z70" i="2" s="1" a="1"/>
  <c r="Z70" i="2" s="1"/>
  <c r="X44" i="2"/>
  <c r="Y44" i="2"/>
  <c r="X192" i="2"/>
  <c r="X86" i="2" s="1" a="1"/>
  <c r="X86" i="2" s="1"/>
  <c r="V44" i="2"/>
  <c r="W44" i="2"/>
  <c r="U16" i="2" a="1"/>
  <c r="U16" i="2" s="1"/>
  <c r="V118" i="2"/>
  <c r="V119" i="2" s="1"/>
  <c r="V120" i="2" s="1"/>
  <c r="U9" i="2" a="1"/>
  <c r="U9" i="2" s="1"/>
  <c r="V203" i="2"/>
  <c r="V93" i="2" s="1" a="1"/>
  <c r="V93" i="2" s="1"/>
  <c r="V187" i="2"/>
  <c r="V83" i="2" s="1" a="1"/>
  <c r="V83" i="2" s="1"/>
  <c r="V208" i="2"/>
  <c r="V209" i="2" s="1"/>
  <c r="V210" i="2" s="1"/>
  <c r="K141" i="2"/>
  <c r="K164" i="2"/>
  <c r="K75" i="2"/>
  <c r="K130" i="2"/>
  <c r="R73" i="2"/>
  <c r="S63" i="2" s="1"/>
  <c r="S65" i="2" s="1"/>
  <c r="R22" i="2"/>
  <c r="D45" i="2"/>
  <c r="Q45" i="2"/>
  <c r="R45" i="2"/>
  <c r="S45" i="2"/>
  <c r="T45" i="2"/>
  <c r="U45" i="2"/>
  <c r="D29" i="2"/>
  <c r="D21" i="2"/>
  <c r="J62" i="2"/>
  <c r="G11" i="1"/>
  <c r="I101" i="2" s="1"/>
  <c r="J49" i="2"/>
  <c r="J4" i="2"/>
  <c r="J175" i="2" s="1"/>
  <c r="W199" i="2" l="1"/>
  <c r="X198" i="2"/>
  <c r="Y179" i="2"/>
  <c r="X77" i="2" a="1"/>
  <c r="X77" i="2" s="1"/>
  <c r="V13" i="2" a="1"/>
  <c r="V13" i="2" s="1"/>
  <c r="V96" i="2" a="1"/>
  <c r="V96" i="2" s="1"/>
  <c r="V90" i="2" a="1"/>
  <c r="V90" i="2" s="1"/>
  <c r="W80" i="2" a="1"/>
  <c r="W80" i="2" s="1"/>
  <c r="X156" i="2" a="1"/>
  <c r="X156" i="2" s="1"/>
  <c r="W118" i="2"/>
  <c r="W119" i="2" s="1"/>
  <c r="W120" i="2" s="1"/>
  <c r="V16" i="2" a="1"/>
  <c r="V16" i="2" s="1"/>
  <c r="V9" i="2" a="1"/>
  <c r="V9" i="2" s="1"/>
  <c r="Y192" i="2"/>
  <c r="Y86" i="2" s="1" a="1"/>
  <c r="Y86" i="2" s="1"/>
  <c r="W208" i="2"/>
  <c r="W209" i="2" s="1"/>
  <c r="W210" i="2" s="1"/>
  <c r="W187" i="2"/>
  <c r="W83" i="2" s="1" a="1"/>
  <c r="W83" i="2" s="1"/>
  <c r="W203" i="2"/>
  <c r="W93" i="2" s="1" a="1"/>
  <c r="W93" i="2" s="1"/>
  <c r="S68" i="2"/>
  <c r="S70" i="2"/>
  <c r="S37" i="2" s="1"/>
  <c r="J141" i="2"/>
  <c r="J164" i="2"/>
  <c r="J75" i="2"/>
  <c r="J130" i="2"/>
  <c r="R32" i="2"/>
  <c r="I62" i="2"/>
  <c r="F11" i="1"/>
  <c r="H101" i="2" s="1"/>
  <c r="I49" i="2"/>
  <c r="I4" i="2"/>
  <c r="I175" i="2" s="1"/>
  <c r="X199" i="2" l="1"/>
  <c r="Y198" i="2"/>
  <c r="Y77" i="2" a="1"/>
  <c r="Y77" i="2" s="1"/>
  <c r="Z179" i="2"/>
  <c r="Z77" i="2" s="1" a="1"/>
  <c r="Z77" i="2" s="1"/>
  <c r="W13" i="2" a="1"/>
  <c r="W13" i="2" s="1"/>
  <c r="W96" i="2" a="1"/>
  <c r="W96" i="2" s="1"/>
  <c r="W90" i="2" a="1"/>
  <c r="W90" i="2" s="1"/>
  <c r="X80" i="2" a="1"/>
  <c r="X80" i="2" s="1"/>
  <c r="Y156" i="2" a="1"/>
  <c r="Y156" i="2" s="1"/>
  <c r="X118" i="2"/>
  <c r="X119" i="2" s="1"/>
  <c r="X120" i="2" s="1"/>
  <c r="W16" i="2" a="1"/>
  <c r="W16" i="2" s="1"/>
  <c r="W9" i="2" a="1"/>
  <c r="W9" i="2" s="1"/>
  <c r="Z192" i="2"/>
  <c r="Z86" i="2" s="1" a="1"/>
  <c r="Z86" i="2" s="1"/>
  <c r="X203" i="2"/>
  <c r="X93" i="2" s="1" a="1"/>
  <c r="X93" i="2" s="1"/>
  <c r="X187" i="2"/>
  <c r="X83" i="2" s="1" a="1"/>
  <c r="X83" i="2" s="1"/>
  <c r="X208" i="2"/>
  <c r="X209" i="2" s="1"/>
  <c r="X210" i="2" s="1"/>
  <c r="S22" i="2"/>
  <c r="S32" i="2" s="1"/>
  <c r="I141" i="2"/>
  <c r="I164" i="2"/>
  <c r="I75" i="2"/>
  <c r="I130" i="2"/>
  <c r="S73" i="2"/>
  <c r="T63" i="2" s="1"/>
  <c r="T65" i="2" s="1"/>
  <c r="H62" i="2"/>
  <c r="E11" i="1"/>
  <c r="G101" i="2" s="1"/>
  <c r="H49" i="2"/>
  <c r="H4" i="2"/>
  <c r="H175" i="2" s="1"/>
  <c r="Y199" i="2" l="1"/>
  <c r="Z198" i="2"/>
  <c r="X13" i="2" a="1"/>
  <c r="X13" i="2" s="1"/>
  <c r="X96" i="2" a="1"/>
  <c r="X96" i="2" s="1"/>
  <c r="X90" i="2" a="1"/>
  <c r="X90" i="2" s="1"/>
  <c r="Y80" i="2" a="1"/>
  <c r="Y80" i="2" s="1"/>
  <c r="Z156" i="2" a="1"/>
  <c r="Z156" i="2" s="1"/>
  <c r="Y118" i="2"/>
  <c r="Y119" i="2" s="1"/>
  <c r="Y120" i="2" s="1"/>
  <c r="X16" i="2" a="1"/>
  <c r="X16" i="2" s="1"/>
  <c r="X9" i="2" a="1"/>
  <c r="X9" i="2" s="1"/>
  <c r="Y208" i="2"/>
  <c r="Y209" i="2" s="1"/>
  <c r="Y210" i="2" s="1"/>
  <c r="Y187" i="2"/>
  <c r="Y83" i="2" s="1" a="1"/>
  <c r="Y83" i="2" s="1"/>
  <c r="Y203" i="2"/>
  <c r="Y93" i="2" s="1" a="1"/>
  <c r="Y93" i="2" s="1"/>
  <c r="T68" i="2"/>
  <c r="T70" i="2"/>
  <c r="T37" i="2" s="1"/>
  <c r="H141" i="2"/>
  <c r="H164" i="2"/>
  <c r="H75" i="2"/>
  <c r="H130" i="2"/>
  <c r="G62" i="2"/>
  <c r="G4" i="2"/>
  <c r="G175" i="2" s="1"/>
  <c r="G49" i="2"/>
  <c r="Z199" i="2" l="1"/>
  <c r="Z13" i="2" a="1"/>
  <c r="Z13" i="2" s="1"/>
  <c r="Y13" i="2" a="1"/>
  <c r="Y13" i="2" s="1"/>
  <c r="Y96" i="2" a="1"/>
  <c r="Y96" i="2" s="1"/>
  <c r="Y90" i="2" a="1"/>
  <c r="Y90" i="2" s="1"/>
  <c r="Z80" i="2" a="1"/>
  <c r="Z80" i="2" s="1"/>
  <c r="Z118" i="2"/>
  <c r="Y16" i="2" a="1"/>
  <c r="Y16" i="2" s="1"/>
  <c r="Z9" i="2" a="1"/>
  <c r="Z9" i="2" s="1"/>
  <c r="Y9" i="2" a="1"/>
  <c r="Y9" i="2" s="1"/>
  <c r="T73" i="2"/>
  <c r="U63" i="2" s="1"/>
  <c r="U65" i="2" s="1"/>
  <c r="Z187" i="2"/>
  <c r="Z83" i="2" s="1" a="1"/>
  <c r="Z83" i="2" s="1"/>
  <c r="Z208" i="2"/>
  <c r="Z209" i="2" s="1"/>
  <c r="Z210" i="2" s="1"/>
  <c r="Z203" i="2"/>
  <c r="Z93" i="2" s="1" a="1"/>
  <c r="Z93" i="2" s="1"/>
  <c r="T22" i="2"/>
  <c r="T32" i="2" s="1"/>
  <c r="G141" i="2"/>
  <c r="G164" i="2"/>
  <c r="G75" i="2"/>
  <c r="G130" i="2"/>
  <c r="Z119" i="2" l="1"/>
  <c r="Z120" i="2" s="1"/>
  <c r="Z96" i="2" a="1"/>
  <c r="Z96" i="2" s="1"/>
  <c r="Z90" i="2" a="1"/>
  <c r="Z90" i="2" s="1"/>
  <c r="U68" i="2"/>
  <c r="U70" i="2"/>
  <c r="U37" i="2" s="1"/>
  <c r="Z16" i="2" l="1" a="1"/>
  <c r="Z16" i="2" s="1"/>
  <c r="U73" i="2"/>
  <c r="V62" i="2" s="1"/>
  <c r="V64" i="2" s="1"/>
  <c r="V67" i="2" s="1"/>
  <c r="U22" i="2"/>
  <c r="U32" i="2" s="1"/>
  <c r="V69" i="2" l="1"/>
  <c r="V22" i="2" s="1"/>
  <c r="P55" i="2"/>
  <c r="P136" i="2"/>
  <c r="Q137" i="2" s="1"/>
  <c r="Q53" i="2" s="1" a="1"/>
  <c r="Q53" i="2" s="1"/>
  <c r="Q132" i="2"/>
  <c r="Q58" i="2" s="1" a="1"/>
  <c r="Q58" i="2" s="1"/>
  <c r="V72" i="2" l="1"/>
  <c r="W62" i="2" s="1"/>
  <c r="W64" i="2" s="1"/>
  <c r="W67" i="2" s="1"/>
  <c r="V36" i="2"/>
  <c r="V31" i="2"/>
  <c r="R137" i="2"/>
  <c r="R53" i="2" s="1" a="1"/>
  <c r="R53" i="2" s="1"/>
  <c r="R132" i="2"/>
  <c r="R58" i="2" s="1" a="1"/>
  <c r="R58" i="2" s="1"/>
  <c r="P60" i="2"/>
  <c r="Q50" i="2" s="1"/>
  <c r="W69" i="2" l="1"/>
  <c r="W72" i="2" s="1"/>
  <c r="X62" i="2" s="1"/>
  <c r="X64" i="2" s="1"/>
  <c r="X67" i="2" s="1"/>
  <c r="Q57" i="2"/>
  <c r="Q35" i="2" s="1"/>
  <c r="Q52" i="2"/>
  <c r="Q55" i="2" s="1"/>
  <c r="S137" i="2"/>
  <c r="S53" i="2" s="1" a="1"/>
  <c r="S53" i="2" s="1"/>
  <c r="S132" i="2"/>
  <c r="S58" i="2" s="1" a="1"/>
  <c r="S58" i="2" s="1"/>
  <c r="Q60" i="2" l="1"/>
  <c r="R50" i="2" s="1"/>
  <c r="R52" i="2" s="1"/>
  <c r="W22" i="2"/>
  <c r="W31" i="2" s="1"/>
  <c r="W36" i="2"/>
  <c r="X69" i="2"/>
  <c r="X72" i="2" s="1"/>
  <c r="Y62" i="2" s="1"/>
  <c r="Y64" i="2" s="1"/>
  <c r="Y67" i="2" s="1"/>
  <c r="Q23" i="2"/>
  <c r="T137" i="2"/>
  <c r="T53" i="2" s="1" a="1"/>
  <c r="T53" i="2" s="1"/>
  <c r="T132" i="2"/>
  <c r="T58" i="2" s="1" a="1"/>
  <c r="T58" i="2" s="1"/>
  <c r="R55" i="2" l="1"/>
  <c r="R57" i="2"/>
  <c r="R35" i="2" s="1"/>
  <c r="X36" i="2"/>
  <c r="X22" i="2"/>
  <c r="X31" i="2" s="1"/>
  <c r="Y69" i="2"/>
  <c r="Y72" i="2" s="1"/>
  <c r="Z62" i="2" s="1"/>
  <c r="Q33" i="2"/>
  <c r="Q25" i="2"/>
  <c r="U137" i="2"/>
  <c r="U53" i="2" s="1" a="1"/>
  <c r="U53" i="2" s="1"/>
  <c r="U132" i="2"/>
  <c r="U58" i="2" s="1" a="1"/>
  <c r="U58" i="2" s="1"/>
  <c r="R23" i="2" l="1"/>
  <c r="R25" i="2" s="1"/>
  <c r="R60" i="2"/>
  <c r="S50" i="2" s="1"/>
  <c r="S52" i="2" s="1"/>
  <c r="S55" i="2" s="1"/>
  <c r="Y36" i="2"/>
  <c r="Y22" i="2"/>
  <c r="Y31" i="2" s="1"/>
  <c r="Z64" i="2"/>
  <c r="Z67" i="2" s="1"/>
  <c r="Z69" i="2"/>
  <c r="V131" i="2"/>
  <c r="V57" i="2" s="1" a="1"/>
  <c r="V57" i="2" s="1"/>
  <c r="V136" i="2"/>
  <c r="V52" i="2" s="1" a="1"/>
  <c r="V52" i="2" s="1"/>
  <c r="S57" i="2" l="1"/>
  <c r="S23" i="2" s="1"/>
  <c r="S25" i="2" s="1"/>
  <c r="R33" i="2"/>
  <c r="Z72" i="2"/>
  <c r="Z22" i="2"/>
  <c r="Z36" i="2"/>
  <c r="W136" i="2"/>
  <c r="W52" i="2" s="1" a="1"/>
  <c r="W52" i="2" s="1"/>
  <c r="W131" i="2"/>
  <c r="W57" i="2" s="1" a="1"/>
  <c r="W57" i="2" s="1"/>
  <c r="S35" i="2" l="1"/>
  <c r="S33" i="2"/>
  <c r="S60" i="2"/>
  <c r="T50" i="2" s="1"/>
  <c r="T52" i="2" s="1"/>
  <c r="T55" i="2" s="1"/>
  <c r="Z31" i="2"/>
  <c r="X131" i="2"/>
  <c r="X57" i="2" s="1" a="1"/>
  <c r="X57" i="2" s="1"/>
  <c r="X136" i="2"/>
  <c r="X52" i="2" s="1" a="1"/>
  <c r="X52" i="2" s="1"/>
  <c r="T57" i="2" l="1"/>
  <c r="T35" i="2" s="1"/>
  <c r="Y136" i="2"/>
  <c r="Y52" i="2" s="1" a="1"/>
  <c r="Y52" i="2" s="1"/>
  <c r="Y131" i="2"/>
  <c r="Y57" i="2" s="1" a="1"/>
  <c r="Y57" i="2" s="1"/>
  <c r="T23" i="2"/>
  <c r="T33" i="2" s="1"/>
  <c r="T60" i="2"/>
  <c r="U50" i="2" s="1"/>
  <c r="U57" i="2" l="1"/>
  <c r="U23" i="2" s="1"/>
  <c r="U25" i="2" s="1"/>
  <c r="U52" i="2"/>
  <c r="U55" i="2" s="1"/>
  <c r="Z131" i="2"/>
  <c r="Z57" i="2" s="1" a="1"/>
  <c r="Z57" i="2" s="1"/>
  <c r="Z136" i="2"/>
  <c r="Z52" i="2" s="1" a="1"/>
  <c r="Z52" i="2" s="1"/>
  <c r="T25" i="2"/>
  <c r="U60" i="2" l="1"/>
  <c r="V49" i="2" s="1"/>
  <c r="V51" i="2" s="1"/>
  <c r="U33" i="2"/>
  <c r="U35" i="2"/>
  <c r="Q162" i="2"/>
  <c r="Q104" i="2" s="1"/>
  <c r="Q105" i="2" l="1"/>
  <c r="Q106" i="2" s="1"/>
  <c r="Q6" i="2" s="1" a="1"/>
  <c r="Q6" i="2" s="1"/>
  <c r="V56" i="2"/>
  <c r="V34" i="2" s="1"/>
  <c r="V54" i="2"/>
  <c r="V23" i="2" l="1"/>
  <c r="V32" i="2" s="1"/>
  <c r="V59" i="2"/>
  <c r="W49" i="2" s="1"/>
  <c r="W51" i="2" s="1"/>
  <c r="W54" i="2" s="1"/>
  <c r="Q5" i="2"/>
  <c r="Q96" i="2" l="1"/>
  <c r="R160" i="2"/>
  <c r="V25" i="2"/>
  <c r="W56" i="2"/>
  <c r="W59" i="2" s="1"/>
  <c r="X49" i="2" s="1"/>
  <c r="X51" i="2" s="1"/>
  <c r="Q86" i="2"/>
  <c r="Q93" i="2"/>
  <c r="Q77" i="2"/>
  <c r="Q83" i="2"/>
  <c r="Q12" i="2"/>
  <c r="Q15" i="2"/>
  <c r="Q8" i="2"/>
  <c r="R161" i="2" l="1"/>
  <c r="R162" i="2" s="1"/>
  <c r="R36" i="2"/>
  <c r="W23" i="2"/>
  <c r="W25" i="2" s="1"/>
  <c r="W34" i="2"/>
  <c r="X56" i="2"/>
  <c r="X34" i="2" s="1"/>
  <c r="X54" i="2"/>
  <c r="Q80" i="2"/>
  <c r="Q90" i="2"/>
  <c r="Q10" i="2"/>
  <c r="Q18" i="2" s="1"/>
  <c r="Q26" i="2" s="1"/>
  <c r="Q27" i="2" s="1"/>
  <c r="W32" i="2" l="1"/>
  <c r="X59" i="2"/>
  <c r="Y49" i="2" s="1"/>
  <c r="Y51" i="2" s="1"/>
  <c r="R104" i="2"/>
  <c r="R5" i="2" s="1"/>
  <c r="S160" i="2" s="1"/>
  <c r="R105" i="2"/>
  <c r="R106" i="2" s="1"/>
  <c r="X23" i="2"/>
  <c r="X32" i="2" s="1"/>
  <c r="Q99" i="2"/>
  <c r="Q39" i="2" s="1"/>
  <c r="Q19" i="2"/>
  <c r="Q28" i="2"/>
  <c r="Q30" i="2" s="1"/>
  <c r="S161" i="2" l="1"/>
  <c r="S162" i="2" s="1"/>
  <c r="S36" i="2"/>
  <c r="R12" i="2"/>
  <c r="R86" i="2"/>
  <c r="R96" i="2"/>
  <c r="R8" i="2"/>
  <c r="R90" i="2" s="1"/>
  <c r="R83" i="2"/>
  <c r="R77" i="2"/>
  <c r="R93" i="2"/>
  <c r="R6" i="2" a="1"/>
  <c r="R6" i="2" s="1"/>
  <c r="Y54" i="2"/>
  <c r="Y56" i="2"/>
  <c r="Y23" i="2" s="1"/>
  <c r="R15" i="2"/>
  <c r="X25" i="2"/>
  <c r="Q41" i="2"/>
  <c r="Q47" i="2" s="1"/>
  <c r="Y59" i="2" l="1"/>
  <c r="Z49" i="2" s="1"/>
  <c r="Z51" i="2" s="1"/>
  <c r="R10" i="2"/>
  <c r="R18" i="2" s="1"/>
  <c r="R26" i="2" s="1"/>
  <c r="R80" i="2"/>
  <c r="Y34" i="2"/>
  <c r="S104" i="2"/>
  <c r="S5" i="2" s="1"/>
  <c r="T160" i="2" s="1"/>
  <c r="S105" i="2"/>
  <c r="S106" i="2" s="1"/>
  <c r="Y32" i="2"/>
  <c r="Y25" i="2"/>
  <c r="R99" i="2"/>
  <c r="R39" i="2" s="1"/>
  <c r="R28" i="2" l="1"/>
  <c r="R30" i="2" s="1"/>
  <c r="R27" i="2"/>
  <c r="Z54" i="2"/>
  <c r="Z56" i="2"/>
  <c r="T161" i="2"/>
  <c r="T162" i="2" s="1"/>
  <c r="T36" i="2"/>
  <c r="S6" i="2" a="1"/>
  <c r="S6" i="2" s="1"/>
  <c r="S96" i="2"/>
  <c r="S93" i="2"/>
  <c r="R41" i="2"/>
  <c r="R47" i="2" s="1"/>
  <c r="R19" i="2"/>
  <c r="S77" i="2"/>
  <c r="S83" i="2"/>
  <c r="S86" i="2"/>
  <c r="S12" i="2"/>
  <c r="S15" i="2"/>
  <c r="S8" i="2"/>
  <c r="S90" i="2" s="1"/>
  <c r="Z59" i="2" l="1"/>
  <c r="Z34" i="2"/>
  <c r="Z23" i="2"/>
  <c r="S80" i="2"/>
  <c r="S99" i="2" s="1"/>
  <c r="S39" i="2" s="1"/>
  <c r="S10" i="2"/>
  <c r="S18" i="2" s="1"/>
  <c r="S26" i="2" s="1"/>
  <c r="T104" i="2"/>
  <c r="T5" i="2" s="1"/>
  <c r="U160" i="2" s="1"/>
  <c r="T105" i="2"/>
  <c r="T106" i="2" s="1"/>
  <c r="Z32" i="2"/>
  <c r="Z25" i="2"/>
  <c r="S28" i="2" l="1"/>
  <c r="S30" i="2" s="1"/>
  <c r="S27" i="2"/>
  <c r="U161" i="2"/>
  <c r="U162" i="2" s="1"/>
  <c r="U36" i="2"/>
  <c r="T6" i="2" a="1"/>
  <c r="T6" i="2" s="1"/>
  <c r="T96" i="2"/>
  <c r="T15" i="2"/>
  <c r="T8" i="2"/>
  <c r="T10" i="2" s="1"/>
  <c r="T83" i="2"/>
  <c r="T12" i="2"/>
  <c r="T77" i="2"/>
  <c r="S19" i="2"/>
  <c r="T93" i="2"/>
  <c r="T86" i="2"/>
  <c r="S41" i="2"/>
  <c r="S47" i="2" s="1"/>
  <c r="T90" i="2" l="1"/>
  <c r="T80" i="2"/>
  <c r="T18" i="2"/>
  <c r="T26" i="2" s="1"/>
  <c r="T27" i="2" s="1"/>
  <c r="U104" i="2"/>
  <c r="U5" i="2" s="1"/>
  <c r="U105" i="2"/>
  <c r="U106" i="2" s="1"/>
  <c r="T19" i="2"/>
  <c r="T28" i="2"/>
  <c r="T30" i="2" s="1"/>
  <c r="T99" i="2" l="1"/>
  <c r="T39" i="2" s="1"/>
  <c r="U96" i="2"/>
  <c r="V159" i="2"/>
  <c r="U8" i="2"/>
  <c r="U90" i="2" s="1"/>
  <c r="U6" i="2" a="1"/>
  <c r="U6" i="2" s="1"/>
  <c r="U15" i="2"/>
  <c r="U12" i="2"/>
  <c r="U83" i="2"/>
  <c r="U77" i="2"/>
  <c r="U93" i="2"/>
  <c r="U86" i="2"/>
  <c r="V35" i="2"/>
  <c r="V160" i="2" s="1"/>
  <c r="V161" i="2" s="1"/>
  <c r="T41" i="2"/>
  <c r="T47" i="2" s="1"/>
  <c r="U10" i="2" l="1"/>
  <c r="U18" i="2" s="1"/>
  <c r="U80" i="2"/>
  <c r="U99" i="2" s="1"/>
  <c r="U39" i="2" s="1"/>
  <c r="V103" i="2"/>
  <c r="V5" i="2" s="1"/>
  <c r="W159" i="2" s="1"/>
  <c r="V104" i="2"/>
  <c r="V105" i="2" s="1"/>
  <c r="U26" i="2" l="1"/>
  <c r="U19" i="2"/>
  <c r="V6" i="2" a="1"/>
  <c r="V6" i="2" s="1"/>
  <c r="V85" i="2"/>
  <c r="V8" i="2"/>
  <c r="V10" i="2" s="1"/>
  <c r="V12" i="2"/>
  <c r="V92" i="2"/>
  <c r="V76" i="2"/>
  <c r="V15" i="2"/>
  <c r="V82" i="2"/>
  <c r="W35" i="2"/>
  <c r="W160" i="2" s="1"/>
  <c r="V95" i="2"/>
  <c r="U28" i="2" l="1"/>
  <c r="U30" i="2" s="1"/>
  <c r="U41" i="2" s="1"/>
  <c r="D15" i="2" s="1" a="1"/>
  <c r="D15" i="2" s="1"/>
  <c r="D23" i="2" s="1"/>
  <c r="U27" i="2"/>
  <c r="V18" i="2"/>
  <c r="V89" i="2"/>
  <c r="V79" i="2"/>
  <c r="W161" i="2"/>
  <c r="U47" i="2"/>
  <c r="D49" i="2" s="1"/>
  <c r="V98" i="2" l="1"/>
  <c r="V38" i="2" s="1"/>
  <c r="V26" i="2"/>
  <c r="V19" i="2"/>
  <c r="W103" i="2"/>
  <c r="W5" i="2" s="1"/>
  <c r="W104" i="2"/>
  <c r="W105" i="2" s="1"/>
  <c r="W6" i="2" s="1" a="1"/>
  <c r="W6" i="2" s="1"/>
  <c r="W76" i="2" l="1"/>
  <c r="X159" i="2"/>
  <c r="W12" i="2"/>
  <c r="X35" i="2"/>
  <c r="X160" i="2" s="1"/>
  <c r="W85" i="2"/>
  <c r="W15" i="2"/>
  <c r="W8" i="2"/>
  <c r="W89" i="2" s="1"/>
  <c r="W95" i="2"/>
  <c r="W82" i="2"/>
  <c r="V27" i="2"/>
  <c r="V29" i="2" s="1"/>
  <c r="V40" i="2" s="1"/>
  <c r="V46" i="2" s="1"/>
  <c r="W92" i="2"/>
  <c r="X161" i="2"/>
  <c r="W79" i="2" l="1"/>
  <c r="W98" i="2" s="1"/>
  <c r="W38" i="2" s="1"/>
  <c r="W10" i="2"/>
  <c r="W18" i="2" s="1"/>
  <c r="W19" i="2" s="1"/>
  <c r="X103" i="2"/>
  <c r="X5" i="2" s="1"/>
  <c r="X104" i="2"/>
  <c r="X105" i="2" s="1"/>
  <c r="X6" i="2" s="1" a="1"/>
  <c r="X6" i="2" s="1"/>
  <c r="X15" i="2" l="1"/>
  <c r="Y159" i="2"/>
  <c r="W26" i="2"/>
  <c r="Y35" i="2"/>
  <c r="Y160" i="2" s="1"/>
  <c r="Y161" i="2" s="1"/>
  <c r="X95" i="2"/>
  <c r="X8" i="2"/>
  <c r="X10" i="2" s="1"/>
  <c r="X82" i="2"/>
  <c r="X12" i="2"/>
  <c r="X76" i="2"/>
  <c r="X85" i="2"/>
  <c r="X92" i="2"/>
  <c r="W27" i="2"/>
  <c r="W29" i="2" s="1"/>
  <c r="W40" i="2" s="1"/>
  <c r="W46" i="2" s="1"/>
  <c r="X18" i="2" l="1"/>
  <c r="X26" i="2" s="1"/>
  <c r="X27" i="2" s="1"/>
  <c r="X29" i="2" s="1"/>
  <c r="X40" i="2" s="1"/>
  <c r="X46" i="2" s="1"/>
  <c r="X89" i="2"/>
  <c r="X79" i="2"/>
  <c r="X98" i="2" s="1"/>
  <c r="X38" i="2" s="1"/>
  <c r="Y103" i="2"/>
  <c r="Y5" i="2" s="1"/>
  <c r="Z159" i="2" s="1"/>
  <c r="Y104" i="2"/>
  <c r="Y105" i="2" s="1"/>
  <c r="Y6" i="2" s="1" a="1"/>
  <c r="Y6" i="2" s="1"/>
  <c r="Y92" i="2" l="1"/>
  <c r="Y82" i="2"/>
  <c r="Y95" i="2"/>
  <c r="Y85" i="2"/>
  <c r="X19" i="2"/>
  <c r="Y76" i="2"/>
  <c r="Y12" i="2"/>
  <c r="Y8" i="2"/>
  <c r="Y10" i="2" s="1"/>
  <c r="Z35" i="2"/>
  <c r="Z160" i="2" s="1"/>
  <c r="Z161" i="2" s="1"/>
  <c r="Y15" i="2"/>
  <c r="Y89" i="2" l="1"/>
  <c r="Y79" i="2"/>
  <c r="Y98" i="2" s="1"/>
  <c r="Y38" i="2" s="1"/>
  <c r="Y18" i="2"/>
  <c r="Y19" i="2" s="1"/>
  <c r="Z103" i="2"/>
  <c r="Z5" i="2" s="1"/>
  <c r="Z104" i="2"/>
  <c r="Z105" i="2" s="1"/>
  <c r="Z6" i="2" s="1" a="1"/>
  <c r="Z6" i="2" s="1"/>
  <c r="Y26" i="2" l="1"/>
  <c r="Y27" i="2" s="1"/>
  <c r="Y29" i="2" s="1"/>
  <c r="Y40" i="2" s="1"/>
  <c r="Y46" i="2" s="1"/>
  <c r="Z92" i="2"/>
  <c r="Z85" i="2"/>
  <c r="Z95" i="2"/>
  <c r="Z15" i="2"/>
  <c r="Z8" i="2"/>
  <c r="Z10" i="2" s="1"/>
  <c r="Z76" i="2"/>
  <c r="Z82" i="2"/>
  <c r="Z12" i="2"/>
  <c r="Z89" i="2" l="1"/>
  <c r="Z79" i="2"/>
  <c r="Z18" i="2"/>
  <c r="Z19" i="2" s="1"/>
  <c r="D25" i="2" a="1"/>
  <c r="D25" i="2" s="1"/>
  <c r="D34" i="2" a="1"/>
  <c r="D34" i="2" s="1"/>
  <c r="D41" i="2" s="1"/>
  <c r="D46" i="2" s="1"/>
  <c r="Z98" i="2" l="1"/>
  <c r="Z38" i="2" s="1"/>
  <c r="Z26" i="2"/>
  <c r="Z27" i="2" s="1"/>
  <c r="Z29" i="2" s="1"/>
  <c r="Z40" i="2" s="1"/>
  <c r="Z46" i="2" l="1"/>
  <c r="D43" i="2" l="1" a="1"/>
  <c r="D43" i="2" s="1"/>
  <c r="D30" i="2"/>
  <c r="D50" i="2" s="1"/>
  <c r="D51" i="2" s="1"/>
  <c r="D57" i="2" s="1"/>
  <c r="D60" i="2" s="1"/>
  <c r="D27" i="2"/>
  <c r="D63" i="2" l="1"/>
  <c r="D67" i="2"/>
  <c r="D70" i="2" l="1"/>
  <c r="D68" i="2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2">
    <metadataType name="XLDAPR" minSupportedVersion="120000" copy="1" pasteAll="1" pasteValues="1" merge="1" splitFirst="1" rowColShift="1" clearFormats="1" clearComments="1" assign="1" coerce="1" cellMeta="1"/>
    <metadataType name="XLRICHVALUE" minSupportedVersion="120000" copy="1" pasteAll="1" pasteValues="1" merge="1" splitFirst="1" rowColShift="1" clearFormats="1" clearComments="1" assign="1" coerce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futureMetadata name="XLRICHVALUE" count="4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  <bk>
      <extLst>
        <ext uri="{3e2802c4-a4d2-4d8b-9148-e3be6c30e623}">
          <xlrd:rvb i="4"/>
        </ext>
      </extLst>
    </bk>
    <bk>
      <extLst>
        <ext uri="{3e2802c4-a4d2-4d8b-9148-e3be6c30e623}">
          <xlrd:rvb i="5"/>
        </ext>
      </extLst>
    </bk>
    <bk>
      <extLst>
        <ext uri="{3e2802c4-a4d2-4d8b-9148-e3be6c30e623}">
          <xlrd:rvb i="6"/>
        </ext>
      </extLst>
    </bk>
    <bk>
      <extLst>
        <ext uri="{3e2802c4-a4d2-4d8b-9148-e3be6c30e623}">
          <xlrd:rvb i="7"/>
        </ext>
      </extLst>
    </bk>
    <bk>
      <extLst>
        <ext uri="{3e2802c4-a4d2-4d8b-9148-e3be6c30e623}">
          <xlrd:rvb i="8"/>
        </ext>
      </extLst>
    </bk>
    <bk>
      <extLst>
        <ext uri="{3e2802c4-a4d2-4d8b-9148-e3be6c30e623}">
          <xlrd:rvb i="9"/>
        </ext>
      </extLst>
    </bk>
    <bk>
      <extLst>
        <ext uri="{3e2802c4-a4d2-4d8b-9148-e3be6c30e623}">
          <xlrd:rvb i="10"/>
        </ext>
      </extLst>
    </bk>
    <bk>
      <extLst>
        <ext uri="{3e2802c4-a4d2-4d8b-9148-e3be6c30e623}">
          <xlrd:rvb i="11"/>
        </ext>
      </extLst>
    </bk>
    <bk>
      <extLst>
        <ext uri="{3e2802c4-a4d2-4d8b-9148-e3be6c30e623}">
          <xlrd:rvb i="12"/>
        </ext>
      </extLst>
    </bk>
    <bk>
      <extLst>
        <ext uri="{3e2802c4-a4d2-4d8b-9148-e3be6c30e623}">
          <xlrd:rvb i="13"/>
        </ext>
      </extLst>
    </bk>
    <bk>
      <extLst>
        <ext uri="{3e2802c4-a4d2-4d8b-9148-e3be6c30e623}">
          <xlrd:rvb i="14"/>
        </ext>
      </extLst>
    </bk>
    <bk>
      <extLst>
        <ext uri="{3e2802c4-a4d2-4d8b-9148-e3be6c30e623}">
          <xlrd:rvb i="15"/>
        </ext>
      </extLst>
    </bk>
    <bk>
      <extLst>
        <ext uri="{3e2802c4-a4d2-4d8b-9148-e3be6c30e623}">
          <xlrd:rvb i="16"/>
        </ext>
      </extLst>
    </bk>
    <bk>
      <extLst>
        <ext uri="{3e2802c4-a4d2-4d8b-9148-e3be6c30e623}">
          <xlrd:rvb i="17"/>
        </ext>
      </extLst>
    </bk>
    <bk>
      <extLst>
        <ext uri="{3e2802c4-a4d2-4d8b-9148-e3be6c30e623}">
          <xlrd:rvb i="18"/>
        </ext>
      </extLst>
    </bk>
    <bk>
      <extLst>
        <ext uri="{3e2802c4-a4d2-4d8b-9148-e3be6c30e623}">
          <xlrd:rvb i="19"/>
        </ext>
      </extLst>
    </bk>
    <bk>
      <extLst>
        <ext uri="{3e2802c4-a4d2-4d8b-9148-e3be6c30e623}">
          <xlrd:rvb i="20"/>
        </ext>
      </extLst>
    </bk>
    <bk>
      <extLst>
        <ext uri="{3e2802c4-a4d2-4d8b-9148-e3be6c30e623}">
          <xlrd:rvb i="21"/>
        </ext>
      </extLst>
    </bk>
    <bk>
      <extLst>
        <ext uri="{3e2802c4-a4d2-4d8b-9148-e3be6c30e623}">
          <xlrd:rvb i="22"/>
        </ext>
      </extLst>
    </bk>
    <bk>
      <extLst>
        <ext uri="{3e2802c4-a4d2-4d8b-9148-e3be6c30e623}">
          <xlrd:rvb i="23"/>
        </ext>
      </extLst>
    </bk>
    <bk>
      <extLst>
        <ext uri="{3e2802c4-a4d2-4d8b-9148-e3be6c30e623}">
          <xlrd:rvb i="24"/>
        </ext>
      </extLst>
    </bk>
    <bk>
      <extLst>
        <ext uri="{3e2802c4-a4d2-4d8b-9148-e3be6c30e623}">
          <xlrd:rvb i="25"/>
        </ext>
      </extLst>
    </bk>
    <bk>
      <extLst>
        <ext uri="{3e2802c4-a4d2-4d8b-9148-e3be6c30e623}">
          <xlrd:rvb i="26"/>
        </ext>
      </extLst>
    </bk>
    <bk>
      <extLst>
        <ext uri="{3e2802c4-a4d2-4d8b-9148-e3be6c30e623}">
          <xlrd:rvb i="27"/>
        </ext>
      </extLst>
    </bk>
    <bk>
      <extLst>
        <ext uri="{3e2802c4-a4d2-4d8b-9148-e3be6c30e623}">
          <xlrd:rvb i="28"/>
        </ext>
      </extLst>
    </bk>
    <bk>
      <extLst>
        <ext uri="{3e2802c4-a4d2-4d8b-9148-e3be6c30e623}">
          <xlrd:rvb i="29"/>
        </ext>
      </extLst>
    </bk>
    <bk>
      <extLst>
        <ext uri="{3e2802c4-a4d2-4d8b-9148-e3be6c30e623}">
          <xlrd:rvb i="30"/>
        </ext>
      </extLst>
    </bk>
    <bk>
      <extLst>
        <ext uri="{3e2802c4-a4d2-4d8b-9148-e3be6c30e623}">
          <xlrd:rvb i="31"/>
        </ext>
      </extLst>
    </bk>
    <bk>
      <extLst>
        <ext uri="{3e2802c4-a4d2-4d8b-9148-e3be6c30e623}">
          <xlrd:rvb i="32"/>
        </ext>
      </extLst>
    </bk>
    <bk>
      <extLst>
        <ext uri="{3e2802c4-a4d2-4d8b-9148-e3be6c30e623}">
          <xlrd:rvb i="33"/>
        </ext>
      </extLst>
    </bk>
    <bk>
      <extLst>
        <ext uri="{3e2802c4-a4d2-4d8b-9148-e3be6c30e623}">
          <xlrd:rvb i="34"/>
        </ext>
      </extLst>
    </bk>
    <bk>
      <extLst>
        <ext uri="{3e2802c4-a4d2-4d8b-9148-e3be6c30e623}">
          <xlrd:rvb i="35"/>
        </ext>
      </extLst>
    </bk>
    <bk>
      <extLst>
        <ext uri="{3e2802c4-a4d2-4d8b-9148-e3be6c30e623}">
          <xlrd:rvb i="36"/>
        </ext>
      </extLst>
    </bk>
    <bk>
      <extLst>
        <ext uri="{3e2802c4-a4d2-4d8b-9148-e3be6c30e623}">
          <xlrd:rvb i="37"/>
        </ext>
      </extLst>
    </bk>
    <bk>
      <extLst>
        <ext uri="{3e2802c4-a4d2-4d8b-9148-e3be6c30e623}">
          <xlrd:rvb i="38"/>
        </ext>
      </extLst>
    </bk>
    <bk>
      <extLst>
        <ext uri="{3e2802c4-a4d2-4d8b-9148-e3be6c30e623}">
          <xlrd:rvb i="39"/>
        </ext>
      </extLst>
    </bk>
    <bk>
      <extLst>
        <ext uri="{3e2802c4-a4d2-4d8b-9148-e3be6c30e623}">
          <xlrd:rvb i="40"/>
        </ext>
      </extLst>
    </bk>
    <bk>
      <extLst>
        <ext uri="{3e2802c4-a4d2-4d8b-9148-e3be6c30e623}">
          <xlrd:rvb i="41"/>
        </ext>
      </extLst>
    </bk>
    <bk>
      <extLst>
        <ext uri="{3e2802c4-a4d2-4d8b-9148-e3be6c30e623}">
          <xlrd:rvb i="42"/>
        </ext>
      </extLst>
    </bk>
    <bk>
      <extLst>
        <ext uri="{3e2802c4-a4d2-4d8b-9148-e3be6c30e623}">
          <xlrd:rvb i="43"/>
        </ext>
      </extLst>
    </bk>
  </futureMetadata>
  <cellMetadata count="1">
    <bk>
      <rc t="1" v="0"/>
    </bk>
  </cellMetadata>
  <valueMetadata count="44">
    <bk>
      <rc t="2" v="0"/>
    </bk>
    <bk>
      <rc t="2" v="1"/>
    </bk>
    <bk>
      <rc t="2" v="2"/>
    </bk>
    <bk>
      <rc t="2" v="3"/>
    </bk>
    <bk>
      <rc t="2" v="4"/>
    </bk>
    <bk>
      <rc t="2" v="5"/>
    </bk>
    <bk>
      <rc t="2" v="6"/>
    </bk>
    <bk>
      <rc t="2" v="7"/>
    </bk>
    <bk>
      <rc t="2" v="8"/>
    </bk>
    <bk>
      <rc t="2" v="9"/>
    </bk>
    <bk>
      <rc t="2" v="10"/>
    </bk>
    <bk>
      <rc t="2" v="11"/>
    </bk>
    <bk>
      <rc t="2" v="12"/>
    </bk>
    <bk>
      <rc t="2" v="13"/>
    </bk>
    <bk>
      <rc t="2" v="14"/>
    </bk>
    <bk>
      <rc t="2" v="15"/>
    </bk>
    <bk>
      <rc t="2" v="16"/>
    </bk>
    <bk>
      <rc t="2" v="17"/>
    </bk>
    <bk>
      <rc t="2" v="18"/>
    </bk>
    <bk>
      <rc t="2" v="19"/>
    </bk>
    <bk>
      <rc t="2" v="20"/>
    </bk>
    <bk>
      <rc t="2" v="21"/>
    </bk>
    <bk>
      <rc t="2" v="22"/>
    </bk>
    <bk>
      <rc t="2" v="23"/>
    </bk>
    <bk>
      <rc t="2" v="24"/>
    </bk>
    <bk>
      <rc t="2" v="25"/>
    </bk>
    <bk>
      <rc t="2" v="26"/>
    </bk>
    <bk>
      <rc t="2" v="27"/>
    </bk>
    <bk>
      <rc t="2" v="28"/>
    </bk>
    <bk>
      <rc t="2" v="29"/>
    </bk>
    <bk>
      <rc t="2" v="30"/>
    </bk>
    <bk>
      <rc t="2" v="31"/>
    </bk>
    <bk>
      <rc t="2" v="32"/>
    </bk>
    <bk>
      <rc t="2" v="33"/>
    </bk>
    <bk>
      <rc t="2" v="34"/>
    </bk>
    <bk>
      <rc t="2" v="35"/>
    </bk>
    <bk>
      <rc t="2" v="36"/>
    </bk>
    <bk>
      <rc t="2" v="37"/>
    </bk>
    <bk>
      <rc t="2" v="38"/>
    </bk>
    <bk>
      <rc t="2" v="39"/>
    </bk>
    <bk>
      <rc t="2" v="40"/>
    </bk>
    <bk>
      <rc t="2" v="41"/>
    </bk>
    <bk>
      <rc t="2" v="42"/>
    </bk>
    <bk>
      <rc t="2" v="43"/>
    </bk>
  </valueMetadata>
</metadata>
</file>

<file path=xl/sharedStrings.xml><?xml version="1.0" encoding="utf-8"?>
<sst xmlns="http://schemas.openxmlformats.org/spreadsheetml/2006/main" count="476" uniqueCount="312">
  <si>
    <t>Income Statement</t>
  </si>
  <si>
    <t>Revenue</t>
  </si>
  <si>
    <t>Cost of Good Solds</t>
  </si>
  <si>
    <t>Operating Expenses</t>
  </si>
  <si>
    <t>Research &amp; Development</t>
  </si>
  <si>
    <t>Selling, General &amp; Administrative</t>
  </si>
  <si>
    <t>Other Operating Expenses</t>
  </si>
  <si>
    <t>Operating Income</t>
  </si>
  <si>
    <t>Non Operating Income (Expense)</t>
  </si>
  <si>
    <t>Interest Income</t>
  </si>
  <si>
    <t>Interest Expense</t>
  </si>
  <si>
    <t>Gain (Loss) on Assets/Investment</t>
  </si>
  <si>
    <t>Other Non-Operating Items</t>
  </si>
  <si>
    <t>Earning Before Taxes</t>
  </si>
  <si>
    <t>Income Tax Expense</t>
  </si>
  <si>
    <t>Net Income from continuing operations</t>
  </si>
  <si>
    <t>Discounted Operations</t>
  </si>
  <si>
    <t>Income (loss) from Discontinued operations</t>
  </si>
  <si>
    <t>Income Tax Benefit (Expense)</t>
  </si>
  <si>
    <t>Net Income</t>
  </si>
  <si>
    <t>Net Income Attributable to non controlling interest</t>
  </si>
  <si>
    <t>Company Ticker</t>
  </si>
  <si>
    <t>Company Name</t>
  </si>
  <si>
    <t>Ending Year</t>
  </si>
  <si>
    <t>Macfarlane</t>
  </si>
  <si>
    <t>MACF</t>
  </si>
  <si>
    <t>Units</t>
  </si>
  <si>
    <t>Total Operating Expenses</t>
  </si>
  <si>
    <t>Gross Profit</t>
  </si>
  <si>
    <t>Totaling Non Operating Income</t>
  </si>
  <si>
    <t>Net Income Attributable to Shareholders</t>
  </si>
  <si>
    <t>Shares</t>
  </si>
  <si>
    <t>Basic Shares Outstanding</t>
  </si>
  <si>
    <t>Diluted Shares Outstanding</t>
  </si>
  <si>
    <t>Earning Per Shares</t>
  </si>
  <si>
    <t>Basic EPS</t>
  </si>
  <si>
    <t>Diluted EPS</t>
  </si>
  <si>
    <t>Cashflow Statement</t>
  </si>
  <si>
    <t>D&amp;A</t>
  </si>
  <si>
    <t>Deferred Income Taxes</t>
  </si>
  <si>
    <t>Gain (Loss) on Asset Sales / Investment</t>
  </si>
  <si>
    <t>Impairments</t>
  </si>
  <si>
    <t>Stock Based Compesation</t>
  </si>
  <si>
    <t>Inventory</t>
  </si>
  <si>
    <t>Net Change in Working Capital</t>
  </si>
  <si>
    <t>Cashflow from operations</t>
  </si>
  <si>
    <t>Cashflow from investing activities</t>
  </si>
  <si>
    <t>Acquisitions</t>
  </si>
  <si>
    <t>Purchase of PP&amp;E</t>
  </si>
  <si>
    <t>Sale of PP&amp;E</t>
  </si>
  <si>
    <t>Purchase of Intangibles</t>
  </si>
  <si>
    <t>Net cash from Operations</t>
  </si>
  <si>
    <t>Net cash from Operations before Working Capital</t>
  </si>
  <si>
    <t>Net cash from investing</t>
  </si>
  <si>
    <t>Balance Sheet</t>
  </si>
  <si>
    <t>Current Assets</t>
  </si>
  <si>
    <t>Cash &amp; Cash Equivalents</t>
  </si>
  <si>
    <t>Short term Investments</t>
  </si>
  <si>
    <t>Account Receivable</t>
  </si>
  <si>
    <t>Prepaid Expenses</t>
  </si>
  <si>
    <t>Other Current Assets</t>
  </si>
  <si>
    <t>Tax Assets</t>
  </si>
  <si>
    <t>Total Current Assets</t>
  </si>
  <si>
    <t>Non-Current Assets</t>
  </si>
  <si>
    <t>Property Plan and Equipment</t>
  </si>
  <si>
    <t>Goodwill</t>
  </si>
  <si>
    <t>Intangible Assets</t>
  </si>
  <si>
    <t>Long-Term Investment</t>
  </si>
  <si>
    <t>Other Non-current Assets</t>
  </si>
  <si>
    <t>Total Non-Current Assets</t>
  </si>
  <si>
    <t>Total Assets</t>
  </si>
  <si>
    <t>Assets</t>
  </si>
  <si>
    <t>Liabilities</t>
  </si>
  <si>
    <t>Current Liabilities</t>
  </si>
  <si>
    <t>Account Payables</t>
  </si>
  <si>
    <t>Accrued Expenses</t>
  </si>
  <si>
    <t>Income Taxes Payables</t>
  </si>
  <si>
    <t>Deferred Revenue</t>
  </si>
  <si>
    <t>Other Current Liabilities</t>
  </si>
  <si>
    <t>Provisions</t>
  </si>
  <si>
    <t>Short-Term Debt</t>
  </si>
  <si>
    <t>Current Portion of Long-Term Debt</t>
  </si>
  <si>
    <t>Total Current Liabilities</t>
  </si>
  <si>
    <t>Non-Current Liabilities</t>
  </si>
  <si>
    <t>Lease Liabilities</t>
  </si>
  <si>
    <t>Long-Term Debt</t>
  </si>
  <si>
    <t>Tax Liabilities</t>
  </si>
  <si>
    <t>Pension Obligation</t>
  </si>
  <si>
    <t>Other Non-Current Liabilities</t>
  </si>
  <si>
    <t>Total Non-Current Liabilities</t>
  </si>
  <si>
    <t>Total Liabilities</t>
  </si>
  <si>
    <t>Equity</t>
  </si>
  <si>
    <t>Common Shareholder Equity</t>
  </si>
  <si>
    <t>Non-Controlling Interest</t>
  </si>
  <si>
    <t>Total Equity</t>
  </si>
  <si>
    <t>Balance Check</t>
  </si>
  <si>
    <t>Marginal Tax Rate</t>
  </si>
  <si>
    <t>-</t>
  </si>
  <si>
    <t>Free Cash flow To Firm</t>
  </si>
  <si>
    <t>EBITDA</t>
  </si>
  <si>
    <t>Operating Profit</t>
  </si>
  <si>
    <t>SG&amp;A</t>
  </si>
  <si>
    <t>Other Expenses</t>
  </si>
  <si>
    <t>Income Taxes</t>
  </si>
  <si>
    <t>NOPAT</t>
  </si>
  <si>
    <t>(-) Net Change in Non-Cash Working Capital</t>
  </si>
  <si>
    <t>Free Cash Flow To Firm</t>
  </si>
  <si>
    <t>(-) Acquisition</t>
  </si>
  <si>
    <t>(-) Purchase of PP&amp;E</t>
  </si>
  <si>
    <t>Revenue Growth</t>
  </si>
  <si>
    <t>Cost of Good Sold as % Revenue</t>
  </si>
  <si>
    <t>Effective Tax Rate</t>
  </si>
  <si>
    <t>SG&amp;A as % Revenue</t>
  </si>
  <si>
    <t>Other Expenses as % Revenue</t>
  </si>
  <si>
    <t>Income Statement Forecast</t>
  </si>
  <si>
    <t>Gross Assets</t>
  </si>
  <si>
    <t>Net PP&amp;E</t>
  </si>
  <si>
    <t>Beginning Property, Plan and Equipement</t>
  </si>
  <si>
    <t>D&amp;A as % Beginning of Assets</t>
  </si>
  <si>
    <t>Fixed Assets Schedule</t>
  </si>
  <si>
    <t>(-) D&amp;A of Fixed Assets</t>
  </si>
  <si>
    <t>Deferred Contigent Consideration Paid</t>
  </si>
  <si>
    <t>Right of Use Assets</t>
  </si>
  <si>
    <t>D&amp;A Right-of-Use Assets</t>
  </si>
  <si>
    <t>D&amp;A Intangibles</t>
  </si>
  <si>
    <t>EBT - Interest</t>
  </si>
  <si>
    <t xml:space="preserve">(+) Purchase of PP&amp;E </t>
  </si>
  <si>
    <t>Right-of-use Assets Schedule</t>
  </si>
  <si>
    <t>Right-of-use Assets</t>
  </si>
  <si>
    <t>Additions of ROU</t>
  </si>
  <si>
    <t>Disposal of ROU</t>
  </si>
  <si>
    <t>Modification of ROU</t>
  </si>
  <si>
    <t>Acquisition of ROU</t>
  </si>
  <si>
    <t>Gross ROU</t>
  </si>
  <si>
    <t>D&amp;A - Right-of-use Assets</t>
  </si>
  <si>
    <t>D&amp;A - Intangibles</t>
  </si>
  <si>
    <t>D&amp;A - Assets</t>
  </si>
  <si>
    <t>(+) D&amp;A of Intangibles</t>
  </si>
  <si>
    <t>(+) D&amp;A of Right-of-use Assets</t>
  </si>
  <si>
    <t>D&amp;A Fixed Assets</t>
  </si>
  <si>
    <t>(+) D&amp;A Fixed Assets</t>
  </si>
  <si>
    <t>(-) Additions Right-of-use Assets</t>
  </si>
  <si>
    <t>Working Capital</t>
  </si>
  <si>
    <t>Account Receivables</t>
  </si>
  <si>
    <t>Account Receivable (Days Sales Outstanding)</t>
  </si>
  <si>
    <t>Inventory (Days Inventory Outstanding)</t>
  </si>
  <si>
    <t>Account Payables (Days Payable Outstanding)</t>
  </si>
  <si>
    <t>Prepaid Expenses as % Revenue</t>
  </si>
  <si>
    <t>Accrued Expenses as % Revenue</t>
  </si>
  <si>
    <t>Provisions as % Revenue</t>
  </si>
  <si>
    <t>Other Current Assets as % Revenue</t>
  </si>
  <si>
    <t>Net Adittions of Right-of-use Assets % Beginning ROU</t>
  </si>
  <si>
    <t xml:space="preserve">D&amp;A as % Beginning of ROU </t>
  </si>
  <si>
    <t>Perpetual Growth Method</t>
  </si>
  <si>
    <t>FCFF Last Year</t>
  </si>
  <si>
    <t>Perpetual Growth Rate</t>
  </si>
  <si>
    <t>Discount Rate</t>
  </si>
  <si>
    <t>Terminal Value (PGM)</t>
  </si>
  <si>
    <t>EBITDA (Last Year Forecast)</t>
  </si>
  <si>
    <t>Implied Exit Multiple</t>
  </si>
  <si>
    <t>Debt</t>
  </si>
  <si>
    <t>Market Value of Debt</t>
  </si>
  <si>
    <t>Discount Factor</t>
  </si>
  <si>
    <t>Period</t>
  </si>
  <si>
    <t>Present Value</t>
  </si>
  <si>
    <t>DFC Output</t>
  </si>
  <si>
    <t>(+) Sum of PV of FCFF</t>
  </si>
  <si>
    <t>(+) PV of Terminal Value</t>
  </si>
  <si>
    <t>Implied Enterprise Value</t>
  </si>
  <si>
    <t>(+) Cash &amp; Equivalent</t>
  </si>
  <si>
    <t>(+) Short Term Investment</t>
  </si>
  <si>
    <t>(-) Total Debt</t>
  </si>
  <si>
    <t>(-) Preferred Stock</t>
  </si>
  <si>
    <t>(-) Noncontrolling Interest</t>
  </si>
  <si>
    <t>Implied Equity Value</t>
  </si>
  <si>
    <t>Diluted</t>
  </si>
  <si>
    <t>Implied Share Price</t>
  </si>
  <si>
    <t>Current Stock Price</t>
  </si>
  <si>
    <t>Premium (Discount) to current</t>
  </si>
  <si>
    <t>Margin of Safety</t>
  </si>
  <si>
    <t>Ideal Buy Price</t>
  </si>
  <si>
    <t>Premium (Discount) to Current</t>
  </si>
  <si>
    <t>DFC Valuation</t>
  </si>
  <si>
    <t>Acquisition as % of Revenue</t>
  </si>
  <si>
    <t>Risk, Cost of Debt and Cost of Equity Calculator</t>
  </si>
  <si>
    <t>Risk Free Rate Calculator</t>
  </si>
  <si>
    <t>Bond Type</t>
  </si>
  <si>
    <t>Risk Free</t>
  </si>
  <si>
    <t>Inflation</t>
  </si>
  <si>
    <t>Nominal</t>
  </si>
  <si>
    <t>Goverment Bond (10yr) yield</t>
  </si>
  <si>
    <t>Country Spread</t>
  </si>
  <si>
    <t>Risk Free Rate</t>
  </si>
  <si>
    <t>Equity Risk Premium</t>
  </si>
  <si>
    <t>Mature ERP</t>
  </si>
  <si>
    <t>Country Risk Premium</t>
  </si>
  <si>
    <t>CRP</t>
  </si>
  <si>
    <t>Country</t>
  </si>
  <si>
    <t>Weight</t>
  </si>
  <si>
    <t>Total</t>
  </si>
  <si>
    <t>United Kingdom</t>
  </si>
  <si>
    <t>Cost of Equtiy</t>
  </si>
  <si>
    <t>Levered Beta</t>
  </si>
  <si>
    <t>Beta calculation</t>
  </si>
  <si>
    <t>Number of Period Data</t>
  </si>
  <si>
    <t>Debt to Equity Ratio</t>
  </si>
  <si>
    <t>Unlevered Beta</t>
  </si>
  <si>
    <t xml:space="preserve">Std Stock </t>
  </si>
  <si>
    <t>Month</t>
  </si>
  <si>
    <t>Time period</t>
  </si>
  <si>
    <t>Index</t>
  </si>
  <si>
    <t>Price(Stock)</t>
  </si>
  <si>
    <t>DPS(Stock)</t>
  </si>
  <si>
    <t>Split Factor</t>
  </si>
  <si>
    <t>Index Level</t>
  </si>
  <si>
    <t>Return(Stock)</t>
  </si>
  <si>
    <t>Return(Mkt)</t>
  </si>
  <si>
    <t>(R(jt)-Rj)^2</t>
  </si>
  <si>
    <t>(R(mt)-R(m))^2</t>
  </si>
  <si>
    <t>(R(jt)-R(j))</t>
  </si>
  <si>
    <t>(R(mt)-R(m))</t>
  </si>
  <si>
    <t>Input</t>
  </si>
  <si>
    <t>Synthetic Ratio</t>
  </si>
  <si>
    <t>Interest Coverage Ratio</t>
  </si>
  <si>
    <t>Estimated Bond Rating</t>
  </si>
  <si>
    <t>Firm Type</t>
  </si>
  <si>
    <t>Smaller or rieskier firm (&lt;5bn)</t>
  </si>
  <si>
    <t xml:space="preserve">Estimated Default Spread </t>
  </si>
  <si>
    <t>Government Bond</t>
  </si>
  <si>
    <t>Estimated Cost of Debt</t>
  </si>
  <si>
    <t>Estimated Cost of Debt after Tax</t>
  </si>
  <si>
    <t>For large non-financial services</t>
  </si>
  <si>
    <t>For financial services</t>
  </si>
  <si>
    <t>&gt;</t>
  </si>
  <si>
    <t>≤ to</t>
  </si>
  <si>
    <t>Rating is</t>
  </si>
  <si>
    <t>Spread is</t>
  </si>
  <si>
    <t>D2/D</t>
  </si>
  <si>
    <t>C2/C</t>
  </si>
  <si>
    <t>Ca2/CC</t>
  </si>
  <si>
    <t>Caa/CCC</t>
  </si>
  <si>
    <t>B3/B-</t>
  </si>
  <si>
    <t>B2/B</t>
  </si>
  <si>
    <t>B1/B+</t>
  </si>
  <si>
    <t>Ba2/BB</t>
  </si>
  <si>
    <t>Ba1/BB+</t>
  </si>
  <si>
    <t>Baa2/BBB</t>
  </si>
  <si>
    <t>A3/A-</t>
  </si>
  <si>
    <t>A2/A</t>
  </si>
  <si>
    <t>A1/A+</t>
  </si>
  <si>
    <t>Aa2/AA</t>
  </si>
  <si>
    <t>Aaa/AAA</t>
  </si>
  <si>
    <t>For smaller firms</t>
  </si>
  <si>
    <t>Theses tables are updated from Jul 2025 - If you want to update the spreads, please visit http://www.bondsonline.com</t>
  </si>
  <si>
    <t>Cost of Debt</t>
  </si>
  <si>
    <t>After Tax Cost of Debt</t>
  </si>
  <si>
    <t>Book Value of Debt</t>
  </si>
  <si>
    <t>Average Maturity</t>
  </si>
  <si>
    <t>Cost of Capital</t>
  </si>
  <si>
    <t>Market Value of Equity</t>
  </si>
  <si>
    <t>Equity Ratio</t>
  </si>
  <si>
    <t>Cost of Equity</t>
  </si>
  <si>
    <t>Adjusted Beta (Beta Drifting)</t>
  </si>
  <si>
    <t>Sector</t>
  </si>
  <si>
    <t>Average unlevered beta</t>
  </si>
  <si>
    <t>Relevered beta</t>
  </si>
  <si>
    <t>Acquisition EV/EBITDA Multiple</t>
  </si>
  <si>
    <t>Average Acquisition EBITDA Margin</t>
  </si>
  <si>
    <t>Acquisitions Revenue addition</t>
  </si>
  <si>
    <t>Implied Growth</t>
  </si>
  <si>
    <t>Years of High growth</t>
  </si>
  <si>
    <t>Exit Multiple Method</t>
  </si>
  <si>
    <t>Terminal Metric</t>
  </si>
  <si>
    <t>Terminal EBITDA</t>
  </si>
  <si>
    <t>EV/EBITDA Multiple</t>
  </si>
  <si>
    <t>Implied Growth Rate</t>
  </si>
  <si>
    <t>Terminal Value</t>
  </si>
  <si>
    <t>Present Value of TM</t>
  </si>
  <si>
    <t>Present Value of TV</t>
  </si>
  <si>
    <t>Terminal Value Method</t>
  </si>
  <si>
    <t>Exit</t>
  </si>
  <si>
    <t>Perpetual</t>
  </si>
  <si>
    <t>Operating Margin</t>
  </si>
  <si>
    <t>Base</t>
  </si>
  <si>
    <t>Downside</t>
  </si>
  <si>
    <t>Scenario</t>
  </si>
  <si>
    <t>Purchase of PPE as % Beginning PP&amp;E</t>
  </si>
  <si>
    <t>Fixed Assets Forecast</t>
  </si>
  <si>
    <t>Beginning Right-of-use Assets</t>
  </si>
  <si>
    <t>(+) Net additions of ROU</t>
  </si>
  <si>
    <t>Net Right-of-use Assets</t>
  </si>
  <si>
    <t>(-) Depreciation of ROU</t>
  </si>
  <si>
    <t>Right-of-use Forecast</t>
  </si>
  <si>
    <t>Acquisitions Forecast</t>
  </si>
  <si>
    <t>Revenue %  Growth</t>
  </si>
  <si>
    <t>Cost of Good Solds as % Revenue</t>
  </si>
  <si>
    <t>Working Capital Forecast</t>
  </si>
  <si>
    <t>D&amp;A as % of Beginning of PP&amp;E</t>
  </si>
  <si>
    <t>Upside</t>
  </si>
  <si>
    <t>Total D&amp;A</t>
  </si>
  <si>
    <t>D&amp;A of ROU as % of Beginning Right-of-use Assets</t>
  </si>
  <si>
    <t>EBITDA Margin</t>
  </si>
  <si>
    <t xml:space="preserve"> </t>
  </si>
  <si>
    <t>Account Payables (Days Sales Outstanding)</t>
  </si>
  <si>
    <t>Acquisitions as % of Revenue</t>
  </si>
  <si>
    <t>Acquisitions EV/EBITDA Multiple</t>
  </si>
  <si>
    <t>Created by Franco Gianotti on 9/14/2025
Modified by Franco Gianotti on 9/14/2025</t>
  </si>
  <si>
    <t>Scenario Summary</t>
  </si>
  <si>
    <t>Created by Franco Gianotti on 9/14/2025</t>
  </si>
  <si>
    <t>Effective Acquisition</t>
  </si>
  <si>
    <t>Implicit Price</t>
  </si>
  <si>
    <t>Buy Price (20% Margin of Safety)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</si>
</sst>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_-[$£-809]* #,##0.00_-;\-[$£-809]* #,##0.00_-;_-[$£-809]* &quot;-&quot;??_-;_-@_-"/>
    <numFmt numFmtId="165" formatCode="0.0#\x"/>
    <numFmt numFmtId="166" formatCode="0.0000"/>
    <numFmt numFmtId="167" formatCode="_-* #,##0.00\ &quot;€&quot;_-;\-* #,##0.00\ &quot;€&quot;_-;_-* &quot;-&quot;??\ &quot;€&quot;_-;_-@_-"/>
  </numFmts>
  <fonts count="2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1"/>
      <color theme="3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000000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0"/>
      <color indexed="8"/>
      <name val="Avenir Next Regular"/>
    </font>
    <font>
      <sz val="10"/>
      <color indexed="8"/>
      <name val="Geneva"/>
      <family val="2"/>
    </font>
    <font>
      <sz val="11"/>
      <color rgb="FF3F3F76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2"/>
      <color theme="1" tint="0.499984740745262"/>
      <name val="Calibri"/>
      <family val="2"/>
      <scheme val="minor"/>
    </font>
    <font>
      <sz val="12"/>
      <color theme="1" tint="0.49998474074526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8"/>
      <color theme="1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rgb="FF000000"/>
      </patternFill>
    </fill>
    <fill>
      <patternFill patternType="solid">
        <fgColor theme="3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D78"/>
      </patternFill>
    </fill>
    <fill>
      <patternFill patternType="solid">
        <fgColor indexed="22"/>
        <bgColor indexed="24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 style="thin">
        <color theme="4"/>
      </top>
      <bottom style="double">
        <color theme="4"/>
      </bottom>
      <diagonal/>
    </border>
    <border>
      <left/>
      <right style="thin">
        <color rgb="FFB2B2B2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theme="4"/>
      </top>
      <bottom style="double">
        <color theme="4"/>
      </bottom>
      <diagonal/>
    </border>
    <border>
      <left style="thin">
        <color rgb="FFB2B2B2"/>
      </left>
      <right/>
      <top style="thin">
        <color rgb="FFB2B2B2"/>
      </top>
      <bottom style="thin">
        <color rgb="FFB2B2B2"/>
      </bottom>
      <diagonal/>
    </border>
    <border>
      <left/>
      <right/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rgb="FFB2B2B2"/>
      </top>
      <bottom/>
      <diagonal/>
    </border>
    <border>
      <left style="thin">
        <color indexed="64"/>
      </left>
      <right/>
      <top/>
      <bottom style="thin">
        <color rgb="FFB2B2B2"/>
      </bottom>
      <diagonal/>
    </border>
    <border>
      <left/>
      <right/>
      <top style="thin">
        <color rgb="FFB2B2B2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/>
    <xf numFmtId="44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1" fillId="2" borderId="1" applyNumberFormat="0" applyFont="0" applyAlignment="0" applyProtection="0"/>
    <xf numFmtId="0" fontId="7" fillId="3" borderId="0" applyNumberFormat="0" applyBorder="0" applyAlignment="0" applyProtection="0"/>
    <xf numFmtId="0" fontId="10" fillId="5" borderId="0" applyNumberFormat="0" applyBorder="0" applyAlignment="0" applyProtection="0"/>
    <xf numFmtId="0" fontId="1" fillId="6" borderId="0" applyNumberFormat="0" applyBorder="0" applyAlignment="0" applyProtection="0"/>
    <xf numFmtId="0" fontId="3" fillId="0" borderId="8" applyNumberFormat="0" applyFill="0" applyAlignment="0" applyProtection="0"/>
    <xf numFmtId="0" fontId="6" fillId="0" borderId="10" applyNumberFormat="0" applyFill="0" applyAlignment="0" applyProtection="0"/>
    <xf numFmtId="0" fontId="13" fillId="0" borderId="0" applyNumberFormat="0" applyFill="0" applyBorder="0" applyProtection="0">
      <alignment vertical="top" wrapText="1"/>
    </xf>
    <xf numFmtId="0" fontId="15" fillId="11" borderId="9" applyNumberFormat="0" applyProtection="0">
      <alignment vertical="center"/>
    </xf>
  </cellStyleXfs>
  <cellXfs count="138">
    <xf numFmtId="0" fontId="0" fillId="0" borderId="0" xfId="0"/>
    <xf numFmtId="0" fontId="0" fillId="0" borderId="0" xfId="0" applyAlignment="1">
      <alignment horizontal="left" indent="2"/>
    </xf>
    <xf numFmtId="0" fontId="8" fillId="0" borderId="0" xfId="0" applyFont="1"/>
    <xf numFmtId="0" fontId="9" fillId="0" borderId="0" xfId="0" applyFont="1" applyAlignment="1">
      <alignment horizontal="left" indent="2"/>
    </xf>
    <xf numFmtId="0" fontId="4" fillId="2" borderId="1" xfId="4" applyFont="1"/>
    <xf numFmtId="0" fontId="0" fillId="2" borderId="1" xfId="4" applyFont="1"/>
    <xf numFmtId="0" fontId="2" fillId="0" borderId="0" xfId="2" applyAlignment="1">
      <alignment horizontal="left"/>
    </xf>
    <xf numFmtId="44" fontId="0" fillId="2" borderId="1" xfId="4" applyNumberFormat="1" applyFont="1"/>
    <xf numFmtId="0" fontId="6" fillId="0" borderId="0" xfId="0" applyFont="1" applyAlignment="1">
      <alignment horizontal="left"/>
    </xf>
    <xf numFmtId="44" fontId="0" fillId="0" borderId="0" xfId="0" applyNumberFormat="1"/>
    <xf numFmtId="0" fontId="6" fillId="0" borderId="0" xfId="0" applyFont="1"/>
    <xf numFmtId="0" fontId="5" fillId="3" borderId="0" xfId="5" applyFont="1"/>
    <xf numFmtId="0" fontId="5" fillId="3" borderId="0" xfId="5" applyFont="1" applyAlignment="1"/>
    <xf numFmtId="164" fontId="0" fillId="0" borderId="0" xfId="1" applyNumberFormat="1" applyFont="1"/>
    <xf numFmtId="0" fontId="3" fillId="0" borderId="0" xfId="3"/>
    <xf numFmtId="0" fontId="0" fillId="4" borderId="0" xfId="0" applyFill="1"/>
    <xf numFmtId="0" fontId="6" fillId="4" borderId="0" xfId="0" applyFont="1" applyFill="1"/>
    <xf numFmtId="9" fontId="0" fillId="2" borderId="1" xfId="4" applyNumberFormat="1" applyFont="1"/>
    <xf numFmtId="0" fontId="5" fillId="3" borderId="0" xfId="5" applyFont="1" applyAlignment="1">
      <alignment horizontal="center"/>
    </xf>
    <xf numFmtId="0" fontId="0" fillId="0" borderId="2" xfId="0" applyBorder="1"/>
    <xf numFmtId="0" fontId="0" fillId="2" borderId="3" xfId="4" applyFont="1" applyBorder="1"/>
    <xf numFmtId="44" fontId="6" fillId="0" borderId="0" xfId="0" applyNumberFormat="1" applyFont="1"/>
    <xf numFmtId="10" fontId="0" fillId="0" borderId="0" xfId="0" applyNumberFormat="1"/>
    <xf numFmtId="0" fontId="5" fillId="3" borderId="0" xfId="5" applyFont="1" applyAlignment="1">
      <alignment horizontal="right" vertical="center"/>
    </xf>
    <xf numFmtId="10" fontId="0" fillId="0" borderId="0" xfId="0" applyNumberFormat="1" applyAlignment="1">
      <alignment horizontal="right"/>
    </xf>
    <xf numFmtId="2" fontId="0" fillId="0" borderId="0" xfId="0" applyNumberFormat="1"/>
    <xf numFmtId="44" fontId="0" fillId="2" borderId="1" xfId="4" quotePrefix="1" applyNumberFormat="1" applyFont="1"/>
    <xf numFmtId="9" fontId="0" fillId="2" borderId="3" xfId="4" applyNumberFormat="1" applyFont="1" applyBorder="1"/>
    <xf numFmtId="10" fontId="0" fillId="2" borderId="1" xfId="4" applyNumberFormat="1" applyFont="1"/>
    <xf numFmtId="44" fontId="0" fillId="0" borderId="2" xfId="0" applyNumberFormat="1" applyBorder="1"/>
    <xf numFmtId="0" fontId="7" fillId="3" borderId="0" xfId="5"/>
    <xf numFmtId="0" fontId="7" fillId="7" borderId="0" xfId="5" applyFill="1" applyAlignment="1">
      <alignment horizontal="left" vertical="center"/>
    </xf>
    <xf numFmtId="10" fontId="0" fillId="2" borderId="3" xfId="4" applyNumberFormat="1" applyFont="1" applyBorder="1"/>
    <xf numFmtId="44" fontId="6" fillId="0" borderId="2" xfId="0" applyNumberFormat="1" applyFont="1" applyBorder="1"/>
    <xf numFmtId="0" fontId="11" fillId="0" borderId="0" xfId="0" applyFont="1" applyAlignment="1">
      <alignment horizontal="left" indent="2"/>
    </xf>
    <xf numFmtId="0" fontId="11" fillId="0" borderId="0" xfId="0" applyFont="1"/>
    <xf numFmtId="44" fontId="11" fillId="8" borderId="1" xfId="0" applyNumberFormat="1" applyFont="1" applyFill="1" applyBorder="1"/>
    <xf numFmtId="44" fontId="11" fillId="8" borderId="4" xfId="0" applyNumberFormat="1" applyFont="1" applyFill="1" applyBorder="1"/>
    <xf numFmtId="0" fontId="5" fillId="9" borderId="2" xfId="7" applyFont="1" applyFill="1" applyBorder="1"/>
    <xf numFmtId="0" fontId="5" fillId="9" borderId="0" xfId="7" applyFont="1" applyFill="1"/>
    <xf numFmtId="0" fontId="0" fillId="10" borderId="0" xfId="0" applyFill="1"/>
    <xf numFmtId="0" fontId="0" fillId="10" borderId="2" xfId="0" applyFill="1" applyBorder="1"/>
    <xf numFmtId="0" fontId="0" fillId="0" borderId="0" xfId="0" applyAlignment="1">
      <alignment horizontal="left"/>
    </xf>
    <xf numFmtId="2" fontId="0" fillId="2" borderId="3" xfId="4" applyNumberFormat="1" applyFont="1" applyBorder="1"/>
    <xf numFmtId="2" fontId="0" fillId="2" borderId="1" xfId="4" applyNumberFormat="1" applyFont="1"/>
    <xf numFmtId="0" fontId="10" fillId="5" borderId="0" xfId="6"/>
    <xf numFmtId="9" fontId="0" fillId="0" borderId="0" xfId="0" applyNumberFormat="1"/>
    <xf numFmtId="165" fontId="0" fillId="0" borderId="0" xfId="0" applyNumberFormat="1"/>
    <xf numFmtId="1" fontId="0" fillId="0" borderId="2" xfId="0" applyNumberFormat="1" applyBorder="1"/>
    <xf numFmtId="1" fontId="0" fillId="0" borderId="0" xfId="0" applyNumberFormat="1"/>
    <xf numFmtId="166" fontId="0" fillId="0" borderId="2" xfId="0" applyNumberFormat="1" applyBorder="1"/>
    <xf numFmtId="166" fontId="0" fillId="0" borderId="0" xfId="0" applyNumberFormat="1"/>
    <xf numFmtId="10" fontId="12" fillId="0" borderId="0" xfId="0" applyNumberFormat="1" applyFont="1"/>
    <xf numFmtId="10" fontId="12" fillId="0" borderId="2" xfId="0" applyNumberFormat="1" applyFont="1" applyBorder="1"/>
    <xf numFmtId="0" fontId="6" fillId="0" borderId="10" xfId="9" applyAlignment="1">
      <alignment horizontal="left"/>
    </xf>
    <xf numFmtId="0" fontId="6" fillId="0" borderId="10" xfId="9"/>
    <xf numFmtId="44" fontId="6" fillId="0" borderId="10" xfId="9" applyNumberFormat="1"/>
    <xf numFmtId="44" fontId="6" fillId="0" borderId="11" xfId="9" applyNumberFormat="1" applyBorder="1"/>
    <xf numFmtId="10" fontId="6" fillId="0" borderId="10" xfId="9" applyNumberFormat="1"/>
    <xf numFmtId="0" fontId="7" fillId="3" borderId="13" xfId="5" applyBorder="1"/>
    <xf numFmtId="0" fontId="7" fillId="3" borderId="14" xfId="5" applyBorder="1"/>
    <xf numFmtId="0" fontId="7" fillId="3" borderId="15" xfId="5" applyBorder="1"/>
    <xf numFmtId="0" fontId="0" fillId="10" borderId="16" xfId="0" applyFill="1" applyBorder="1"/>
    <xf numFmtId="10" fontId="0" fillId="0" borderId="16" xfId="0" applyNumberFormat="1" applyBorder="1"/>
    <xf numFmtId="10" fontId="6" fillId="0" borderId="17" xfId="9" applyNumberFormat="1" applyBorder="1"/>
    <xf numFmtId="0" fontId="2" fillId="0" borderId="0" xfId="2" applyNumberFormat="1" applyAlignment="1">
      <alignment horizontal="left" vertical="center" indent="1"/>
    </xf>
    <xf numFmtId="0" fontId="14" fillId="0" borderId="0" xfId="10" applyNumberFormat="1" applyFont="1" applyAlignment="1"/>
    <xf numFmtId="0" fontId="14" fillId="0" borderId="0" xfId="10" applyNumberFormat="1" applyFont="1" applyAlignment="1">
      <alignment horizontal="left"/>
    </xf>
    <xf numFmtId="167" fontId="14" fillId="0" borderId="0" xfId="10" applyNumberFormat="1" applyFont="1" applyAlignment="1"/>
    <xf numFmtId="9" fontId="14" fillId="0" borderId="0" xfId="10" applyNumberFormat="1" applyFont="1" applyAlignment="1"/>
    <xf numFmtId="1" fontId="16" fillId="2" borderId="1" xfId="4" applyNumberFormat="1" applyFont="1" applyAlignment="1"/>
    <xf numFmtId="0" fontId="6" fillId="0" borderId="10" xfId="9" applyNumberFormat="1" applyAlignment="1"/>
    <xf numFmtId="0" fontId="7" fillId="3" borderId="0" xfId="5" applyNumberFormat="1" applyAlignment="1"/>
    <xf numFmtId="49" fontId="7" fillId="3" borderId="0" xfId="5" applyNumberFormat="1" applyBorder="1" applyAlignment="1">
      <alignment vertical="top" wrapText="1"/>
    </xf>
    <xf numFmtId="0" fontId="0" fillId="0" borderId="0" xfId="0" applyAlignment="1">
      <alignment vertical="top" wrapText="1"/>
    </xf>
    <xf numFmtId="0" fontId="3" fillId="0" borderId="7" xfId="3" applyFill="1" applyBorder="1" applyAlignment="1">
      <alignment vertical="center"/>
    </xf>
    <xf numFmtId="0" fontId="3" fillId="0" borderId="8" xfId="8" applyFill="1" applyAlignment="1">
      <alignment horizontal="left" vertical="center"/>
    </xf>
    <xf numFmtId="0" fontId="3" fillId="0" borderId="8" xfId="8" applyFill="1" applyAlignment="1">
      <alignment vertical="center"/>
    </xf>
    <xf numFmtId="1" fontId="0" fillId="2" borderId="1" xfId="4" applyNumberFormat="1" applyFont="1"/>
    <xf numFmtId="165" fontId="0" fillId="2" borderId="1" xfId="4" applyNumberFormat="1" applyFont="1"/>
    <xf numFmtId="3" fontId="0" fillId="0" borderId="0" xfId="0" applyNumberFormat="1"/>
    <xf numFmtId="0" fontId="0" fillId="10" borderId="0" xfId="0" applyFill="1" applyAlignment="1">
      <alignment horizontal="left"/>
    </xf>
    <xf numFmtId="0" fontId="12" fillId="0" borderId="0" xfId="0" applyFont="1" applyAlignment="1">
      <alignment horizontal="left" indent="2"/>
    </xf>
    <xf numFmtId="44" fontId="12" fillId="0" borderId="0" xfId="0" applyNumberFormat="1" applyFont="1"/>
    <xf numFmtId="0" fontId="0" fillId="0" borderId="20" xfId="0" applyBorder="1"/>
    <xf numFmtId="10" fontId="0" fillId="10" borderId="0" xfId="0" applyNumberFormat="1" applyFill="1" applyAlignment="1">
      <alignment horizontal="right"/>
    </xf>
    <xf numFmtId="0" fontId="0" fillId="10" borderId="21" xfId="0" applyFill="1" applyBorder="1"/>
    <xf numFmtId="9" fontId="0" fillId="2" borderId="5" xfId="4" applyNumberFormat="1" applyFont="1" applyBorder="1"/>
    <xf numFmtId="0" fontId="0" fillId="0" borderId="22" xfId="0" applyBorder="1"/>
    <xf numFmtId="0" fontId="5" fillId="3" borderId="0" xfId="5" applyFont="1" applyAlignment="1">
      <alignment horizontal="left"/>
    </xf>
    <xf numFmtId="0" fontId="3" fillId="0" borderId="0" xfId="3" applyAlignment="1">
      <alignment horizontal="left"/>
    </xf>
    <xf numFmtId="10" fontId="0" fillId="10" borderId="0" xfId="0" applyNumberFormat="1" applyFill="1"/>
    <xf numFmtId="0" fontId="0" fillId="10" borderId="5" xfId="0" applyFill="1" applyBorder="1"/>
    <xf numFmtId="2" fontId="0" fillId="10" borderId="0" xfId="0" applyNumberFormat="1" applyFill="1"/>
    <xf numFmtId="0" fontId="0" fillId="10" borderId="0" xfId="0" applyFill="1" applyAlignment="1">
      <alignment horizontal="left" indent="2"/>
    </xf>
    <xf numFmtId="0" fontId="0" fillId="0" borderId="0" xfId="0" applyAlignment="1">
      <alignment horizontal="left" indent="4"/>
    </xf>
    <xf numFmtId="0" fontId="17" fillId="0" borderId="0" xfId="0" applyFont="1" applyAlignment="1">
      <alignment horizontal="left" indent="2"/>
    </xf>
    <xf numFmtId="0" fontId="18" fillId="0" borderId="0" xfId="0" applyFont="1"/>
    <xf numFmtId="10" fontId="17" fillId="0" borderId="2" xfId="0" applyNumberFormat="1" applyFont="1" applyBorder="1"/>
    <xf numFmtId="10" fontId="17" fillId="0" borderId="0" xfId="0" applyNumberFormat="1" applyFont="1"/>
    <xf numFmtId="44" fontId="18" fillId="0" borderId="0" xfId="0" applyNumberFormat="1" applyFont="1"/>
    <xf numFmtId="44" fontId="17" fillId="0" borderId="0" xfId="0" applyNumberFormat="1" applyFont="1"/>
    <xf numFmtId="0" fontId="17" fillId="0" borderId="0" xfId="0" applyFont="1" applyAlignment="1">
      <alignment horizontal="left" indent="4"/>
    </xf>
    <xf numFmtId="2" fontId="17" fillId="0" borderId="2" xfId="0" applyNumberFormat="1" applyFont="1" applyBorder="1"/>
    <xf numFmtId="2" fontId="17" fillId="0" borderId="0" xfId="0" applyNumberFormat="1" applyFont="1"/>
    <xf numFmtId="0" fontId="18" fillId="0" borderId="0" xfId="0" applyFont="1" applyAlignment="1">
      <alignment horizontal="left" indent="2"/>
    </xf>
    <xf numFmtId="165" fontId="17" fillId="0" borderId="2" xfId="0" applyNumberFormat="1" applyFont="1" applyBorder="1"/>
    <xf numFmtId="44" fontId="17" fillId="0" borderId="2" xfId="0" applyNumberFormat="1" applyFont="1" applyBorder="1"/>
    <xf numFmtId="44" fontId="0" fillId="0" borderId="24" xfId="0" applyNumberFormat="1" applyBorder="1"/>
    <xf numFmtId="0" fontId="19" fillId="12" borderId="0" xfId="0" applyFont="1" applyFill="1" applyAlignment="1">
      <alignment horizontal="left"/>
    </xf>
    <xf numFmtId="0" fontId="19" fillId="12" borderId="24" xfId="0" applyFont="1" applyFill="1" applyBorder="1" applyAlignment="1">
      <alignment horizontal="left"/>
    </xf>
    <xf numFmtId="0" fontId="20" fillId="0" borderId="0" xfId="0" applyFont="1" applyAlignment="1">
      <alignment vertical="top" wrapText="1"/>
    </xf>
    <xf numFmtId="0" fontId="7" fillId="3" borderId="23" xfId="5" applyBorder="1" applyAlignment="1">
      <alignment horizontal="left"/>
    </xf>
    <xf numFmtId="0" fontId="7" fillId="3" borderId="23" xfId="5" applyBorder="1" applyAlignment="1">
      <alignment horizontal="right"/>
    </xf>
    <xf numFmtId="0" fontId="7" fillId="3" borderId="25" xfId="5" applyBorder="1" applyAlignment="1">
      <alignment horizontal="left"/>
    </xf>
    <xf numFmtId="0" fontId="7" fillId="3" borderId="25" xfId="5" applyBorder="1" applyAlignment="1">
      <alignment horizontal="right"/>
    </xf>
    <xf numFmtId="0" fontId="2" fillId="0" borderId="0" xfId="2" applyAlignment="1">
      <alignment horizontal="left" indent="1"/>
    </xf>
    <xf numFmtId="0" fontId="2" fillId="0" borderId="0" xfId="2" applyAlignment="1">
      <alignment horizontal="left"/>
    </xf>
    <xf numFmtId="0" fontId="0" fillId="0" borderId="0" xfId="0"/>
    <xf numFmtId="49" fontId="15" fillId="2" borderId="1" xfId="4" applyNumberFormat="1" applyFont="1" applyAlignment="1">
      <alignment horizontal="center" vertical="top" wrapText="1"/>
    </xf>
    <xf numFmtId="0" fontId="0" fillId="2" borderId="18" xfId="4" applyNumberFormat="1" applyFont="1" applyBorder="1" applyAlignment="1">
      <alignment horizontal="center" vertical="top" wrapText="1"/>
    </xf>
    <xf numFmtId="0" fontId="0" fillId="2" borderId="19" xfId="4" applyNumberFormat="1" applyFont="1" applyBorder="1" applyAlignment="1">
      <alignment horizontal="center" vertical="top" wrapText="1"/>
    </xf>
    <xf numFmtId="0" fontId="0" fillId="2" borderId="4" xfId="4" applyNumberFormat="1" applyFont="1" applyBorder="1" applyAlignment="1">
      <alignment horizontal="center" vertical="top" wrapText="1"/>
    </xf>
    <xf numFmtId="0" fontId="2" fillId="0" borderId="0" xfId="2" applyAlignment="1">
      <alignment horizontal="left" vertical="center"/>
    </xf>
    <xf numFmtId="0" fontId="0" fillId="0" borderId="0" xfId="0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0" xfId="0" applyAlignment="1">
      <alignment horizontal="left"/>
    </xf>
    <xf numFmtId="0" fontId="0" fillId="10" borderId="2" xfId="0" applyFill="1" applyBorder="1" applyAlignment="1">
      <alignment horizontal="left"/>
    </xf>
    <xf numFmtId="0" fontId="0" fillId="10" borderId="0" xfId="0" applyFill="1" applyAlignment="1">
      <alignment horizontal="left"/>
    </xf>
    <xf numFmtId="0" fontId="0" fillId="0" borderId="2" xfId="0" applyBorder="1" applyAlignment="1">
      <alignment horizontal="left" vertical="top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7" fillId="3" borderId="6" xfId="5" applyNumberFormat="1" applyBorder="1" applyAlignment="1">
      <alignment horizontal="left" vertical="top" wrapText="1"/>
    </xf>
    <xf numFmtId="0" fontId="6" fillId="0" borderId="11" xfId="9" applyBorder="1" applyAlignment="1">
      <alignment horizontal="left"/>
    </xf>
    <xf numFmtId="0" fontId="6" fillId="0" borderId="10" xfId="9" applyAlignment="1">
      <alignment horizontal="left"/>
    </xf>
    <xf numFmtId="0" fontId="7" fillId="3" borderId="0" xfId="5" applyAlignment="1">
      <alignment horizontal="left"/>
    </xf>
    <xf numFmtId="0" fontId="2" fillId="0" borderId="0" xfId="2" applyNumberFormat="1" applyAlignment="1">
      <alignment horizontal="left" vertical="center" indent="1"/>
    </xf>
    <xf numFmtId="0" fontId="14" fillId="0" borderId="0" xfId="10" applyNumberFormat="1" applyFont="1" applyAlignment="1">
      <alignment horizontal="left"/>
    </xf>
  </cellXfs>
  <cellStyles count="12">
    <cellStyle name="20% - Accent1" xfId="7" builtinId="30"/>
    <cellStyle name="Accent1" xfId="5" builtinId="29"/>
    <cellStyle name="Bad" xfId="6" builtinId="27"/>
    <cellStyle name="Currency" xfId="1" builtinId="4"/>
    <cellStyle name="Heading 3" xfId="8" builtinId="18"/>
    <cellStyle name="Heading 4" xfId="3" builtinId="19"/>
    <cellStyle name="Input 2" xfId="11" xr:uid="{7044B58A-2632-D54C-BC61-47F8267E9ADE}"/>
    <cellStyle name="Normal" xfId="0" builtinId="0"/>
    <cellStyle name="Normal 2" xfId="10" xr:uid="{BFF47871-F361-A947-8410-C3C573F9A99C}"/>
    <cellStyle name="Note" xfId="4" builtinId="10"/>
    <cellStyle name="Title" xfId="2" builtinId="15"/>
    <cellStyle name="Total" xfId="9" builtinId="25"/>
  </cellStyles>
  <dxfs count="13">
    <dxf>
      <font>
        <strike/>
        <color theme="0" tint="-0.34998626667073579"/>
      </font>
      <fill>
        <patternFill>
          <bgColor theme="0" tint="-0.24994659260841701"/>
        </patternFill>
      </fill>
    </dxf>
    <dxf>
      <font>
        <strike/>
        <color theme="0" tint="-0.34998626667073579"/>
      </font>
      <fill>
        <patternFill>
          <bgColor theme="0" tint="-0.24994659260841701"/>
        </patternFill>
      </fill>
    </dxf>
    <dxf>
      <font>
        <strike/>
        <color theme="0" tint="-0.34998626667073579"/>
      </font>
      <fill>
        <patternFill>
          <bgColor theme="0" tint="-0.24994659260841701"/>
        </patternFill>
      </fill>
    </dxf>
    <dxf>
      <font>
        <strike/>
        <color theme="0" tint="-0.34998626667073579"/>
      </font>
      <fill>
        <patternFill>
          <bgColor theme="0" tint="-0.24994659260841701"/>
        </patternFill>
      </fill>
    </dxf>
    <dxf>
      <font>
        <strike/>
        <color theme="0" tint="-0.34998626667073579"/>
      </font>
      <fill>
        <patternFill>
          <bgColor theme="0" tint="-0.24994659260841701"/>
        </patternFill>
      </fill>
    </dxf>
    <dxf>
      <font>
        <strike/>
        <color theme="0" tint="-0.34998626667073579"/>
      </font>
      <fill>
        <patternFill>
          <bgColor theme="0" tint="-0.24994659260841701"/>
        </patternFill>
      </fill>
    </dxf>
    <dxf>
      <font>
        <strike/>
        <color theme="0" tint="-0.34998626667073579"/>
      </font>
      <fill>
        <patternFill>
          <bgColor theme="0" tint="-0.24994659260841701"/>
        </patternFill>
      </fill>
    </dxf>
    <dxf>
      <font>
        <strike/>
        <color theme="0" tint="-0.34998626667073579"/>
      </font>
      <fill>
        <patternFill>
          <bgColor theme="0" tint="-0.24994659260841701"/>
        </patternFill>
      </fill>
    </dxf>
    <dxf>
      <font>
        <strike/>
        <color theme="0" tint="-0.34998626667073579"/>
      </font>
      <fill>
        <patternFill>
          <bgColor theme="0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</font>
      <numFmt numFmtId="30" formatCode="@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microsoft.com/office/2017/06/relationships/richStyles" Target="richData/richStyle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microsoft.com/office/2017/06/relationships/rdArray" Target="richData/rdarray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microsoft.com/office/2017/06/relationships/rdRichValueStructure" Target="richData/rdrichvaluestructure.xml"/><Relationship Id="rId5" Type="http://schemas.openxmlformats.org/officeDocument/2006/relationships/worksheet" Target="worksheets/sheet5.xml"/><Relationship Id="rId15" Type="http://schemas.microsoft.com/office/2017/06/relationships/rdSupportingPropertyBag" Target="richData/rdsupportingpropertybag.xml"/><Relationship Id="rId10" Type="http://schemas.microsoft.com/office/2017/06/relationships/rdRichValue" Target="richData/rdrichvalue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Relationship Id="rId14" Type="http://schemas.microsoft.com/office/2017/06/relationships/rdSupportingPropertyBagStructure" Target="richData/rdsupportingpropertybagstructur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ondsonline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327975</xdr:colOff>
      <xdr:row>25</xdr:row>
      <xdr:rowOff>149582</xdr:rowOff>
    </xdr:from>
    <xdr:to>
      <xdr:col>1</xdr:col>
      <xdr:colOff>7299</xdr:colOff>
      <xdr:row>27</xdr:row>
      <xdr:rowOff>143843</xdr:rowOff>
    </xdr:to>
    <xdr:sp macro="" textlink="">
      <xdr:nvSpPr>
        <xdr:cNvPr id="2" name="Synthetic rating estimator">
          <a:extLst>
            <a:ext uri="{FF2B5EF4-FFF2-40B4-BE49-F238E27FC236}">
              <a16:creationId xmlns:a16="http://schemas.microsoft.com/office/drawing/2014/main" id="{8CA8577B-75E4-5141-A372-27EFD87AABDD}"/>
            </a:ext>
          </a:extLst>
        </xdr:cNvPr>
        <xdr:cNvSpPr txBox="1"/>
      </xdr:nvSpPr>
      <xdr:spPr>
        <a:xfrm>
          <a:off x="327975" y="11325582"/>
          <a:ext cx="98424" cy="603861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="" xmlns:r="http://schemas.openxmlformats.org/officeDocument/2006/relationships" xmlns:m="http://schemas.openxmlformats.org/officeDocument/2006/math" xmlns:a14="http://schemas.microsoft.com/office/drawing/2010/main"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15431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3200" b="1" i="0" u="none" strike="noStrike" cap="none" spc="0" baseline="0">
              <a:solidFill>
                <a:srgbClr val="4A4A4A"/>
              </a:solidFill>
              <a:uFillTx/>
              <a:latin typeface="+mj-lt"/>
              <a:ea typeface="+mj-ea"/>
              <a:cs typeface="+mj-cs"/>
              <a:sym typeface="Publico Headline Roman"/>
            </a:defRPr>
          </a:pPr>
          <a:endParaRPr sz="3200" b="1" i="0" u="none" strike="noStrike" cap="none" spc="0" baseline="0">
            <a:solidFill>
              <a:srgbClr val="4A4A4A"/>
            </a:solidFill>
            <a:uFillTx/>
            <a:latin typeface="+mj-lt"/>
            <a:ea typeface="+mj-ea"/>
            <a:cs typeface="+mj-cs"/>
            <a:sym typeface="Publico Headline Roman"/>
          </a:endParaRPr>
        </a:p>
      </xdr:txBody>
    </xdr:sp>
    <xdr:clientData/>
  </xdr:twoCellAnchor>
  <xdr:twoCellAnchor>
    <xdr:from>
      <xdr:col>0</xdr:col>
      <xdr:colOff>302575</xdr:colOff>
      <xdr:row>53</xdr:row>
      <xdr:rowOff>215688</xdr:rowOff>
    </xdr:from>
    <xdr:to>
      <xdr:col>5</xdr:col>
      <xdr:colOff>1699615</xdr:colOff>
      <xdr:row>54</xdr:row>
      <xdr:rowOff>196039</xdr:rowOff>
    </xdr:to>
    <xdr:sp macro="" textlink="">
      <xdr:nvSpPr>
        <xdr:cNvPr id="3" name="Theses tables are updated from Jul 2025 - If you want to update the spreads, please visit http://www.bondsonline.com">
          <a:extLst>
            <a:ext uri="{FF2B5EF4-FFF2-40B4-BE49-F238E27FC236}">
              <a16:creationId xmlns:a16="http://schemas.microsoft.com/office/drawing/2014/main" id="{5C91DD1D-947E-724C-8B96-4CB87E4107FA}"/>
            </a:ext>
          </a:extLst>
        </xdr:cNvPr>
        <xdr:cNvSpPr txBox="1"/>
      </xdr:nvSpPr>
      <xdr:spPr>
        <a:xfrm>
          <a:off x="302575" y="19151388"/>
          <a:ext cx="10629940" cy="259751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="" xmlns:r="http://schemas.openxmlformats.org/officeDocument/2006/relationships" xmlns:m="http://schemas.openxmlformats.org/officeDocument/2006/math" xmlns:a14="http://schemas.microsoft.com/office/drawing/2010/main" xmlns:ma14="http://schemas.microsoft.com/office/mac/drawingml/2011/main" val="1"/>
          </a:ext>
        </a:extLst>
      </xdr:spPr>
      <xdr:txBody>
        <a:bodyPr wrap="square" lIns="50800" tIns="50800" rIns="50800" bIns="50800" numCol="1" anchor="t">
          <a:spAutoFit/>
        </a:bodyPr>
        <a:lstStyle/>
        <a:p>
          <a:pPr marL="0" marR="0" indent="0" algn="l" defTabSz="457200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1000" b="0" i="0" u="none" strike="noStrike" cap="none" spc="0" baseline="0">
              <a:solidFill>
                <a:srgbClr val="000000"/>
              </a:solidFill>
              <a:uFillTx/>
              <a:latin typeface="+mn-lt"/>
              <a:ea typeface="+mn-ea"/>
              <a:cs typeface="+mn-cs"/>
              <a:sym typeface="Avenir Next Regular"/>
            </a:defRPr>
          </a:pPr>
          <a:endParaRPr sz="1000" b="0" i="0" u="sng" strike="noStrike" cap="none" spc="0" baseline="0">
            <a:solidFill>
              <a:srgbClr val="000000"/>
            </a:solidFill>
            <a:uFillTx/>
            <a:latin typeface="+mn-lt"/>
            <a:ea typeface="+mn-ea"/>
            <a:cs typeface="+mn-cs"/>
            <a:sym typeface="Avenir Next Regular"/>
            <a:hlinkClick xmlns:r="http://schemas.openxmlformats.org/officeDocument/2006/relationships" r:id="rId1"/>
          </a:endParaRPr>
        </a:p>
      </xdr:txBody>
    </xdr:sp>
    <xdr:clientData/>
  </xdr:twoCellAnchor>
  <xdr:twoCellAnchor>
    <xdr:from>
      <xdr:col>0</xdr:col>
      <xdr:colOff>327975</xdr:colOff>
      <xdr:row>58</xdr:row>
      <xdr:rowOff>95350</xdr:rowOff>
    </xdr:from>
    <xdr:to>
      <xdr:col>1</xdr:col>
      <xdr:colOff>20955</xdr:colOff>
      <xdr:row>60</xdr:row>
      <xdr:rowOff>86577</xdr:rowOff>
    </xdr:to>
    <xdr:sp macro="" textlink="">
      <xdr:nvSpPr>
        <xdr:cNvPr id="4" name="Equity Risk Premium Calculator">
          <a:extLst>
            <a:ext uri="{FF2B5EF4-FFF2-40B4-BE49-F238E27FC236}">
              <a16:creationId xmlns:a16="http://schemas.microsoft.com/office/drawing/2014/main" id="{4FF0016C-9D1C-DF45-9331-7FE694149887}"/>
            </a:ext>
          </a:extLst>
        </xdr:cNvPr>
        <xdr:cNvSpPr txBox="1"/>
      </xdr:nvSpPr>
      <xdr:spPr>
        <a:xfrm>
          <a:off x="327975" y="20428050"/>
          <a:ext cx="112080" cy="600827"/>
        </a:xfrm>
        <a:prstGeom prst="rect">
          <a:avLst/>
        </a:prstGeom>
        <a:noFill/>
        <a:ln w="12700" cap="flat">
          <a:noFill/>
          <a:miter lim="400000"/>
        </a:ln>
        <a:effectLst/>
        <a:extLst>
          <a:ext uri="{C572A759-6A51-4108-AA02-DFA0A04FC94B}">
            <ma14:wrappingTextBoxFlag xmlns="" xmlns:r="http://schemas.openxmlformats.org/officeDocument/2006/relationships" xmlns:m="http://schemas.openxmlformats.org/officeDocument/2006/math" xmlns:a14="http://schemas.microsoft.com/office/drawing/2010/main" xmlns:ma14="http://schemas.microsoft.com/office/mac/drawingml/2011/main" val="1"/>
          </a:ext>
        </a:extLst>
      </xdr:spPr>
      <xdr:txBody>
        <a:bodyPr wrap="none" lIns="50800" tIns="50800" rIns="50800" bIns="50800" numCol="1" anchor="t">
          <a:spAutoFit/>
        </a:bodyPr>
        <a:lstStyle/>
        <a:p>
          <a:pPr marL="0" marR="0" indent="0" algn="l" defTabSz="415431" rtl="0" latinLnBrk="0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defRPr sz="3200" b="1" i="0" u="none" strike="noStrike" cap="none" spc="0" baseline="0">
              <a:solidFill>
                <a:srgbClr val="4A4A4A"/>
              </a:solidFill>
              <a:uFillTx/>
              <a:latin typeface="+mj-lt"/>
              <a:ea typeface="+mj-ea"/>
              <a:cs typeface="+mj-cs"/>
              <a:sym typeface="Publico Headline Roman"/>
            </a:defRPr>
          </a:pPr>
          <a:endParaRPr sz="3200" b="1" i="0" u="none" strike="noStrike" cap="none" spc="0" baseline="0">
            <a:solidFill>
              <a:srgbClr val="4A4A4A"/>
            </a:solidFill>
            <a:uFillTx/>
            <a:latin typeface="+mj-lt"/>
            <a:ea typeface="+mj-ea"/>
            <a:cs typeface="+mj-cs"/>
            <a:sym typeface="Publico Headline Roman"/>
          </a:endParaRPr>
        </a:p>
      </xdr:txBody>
    </xdr:sp>
    <xdr:clientData/>
  </xdr:twoCellAnchor>
</xdr:wsDr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array.xml><?xml version="1.0" encoding="utf-8"?>
<arrayData xmlns="http://schemas.microsoft.com/office/spreadsheetml/2017/richdata2" count="45">
  <a r="1">
    <v t="i">0</v>
  </a>
  <a r="1">
    <v>81.900000000000006</v>
  </a>
  <a r="1">
    <v>84.6</v>
  </a>
  <a r="1">
    <v>87.5</v>
  </a>
  <a r="1">
    <v>90.4</v>
  </a>
  <a r="1">
    <v>91.8</v>
  </a>
  <a r="1">
    <v>102.5</v>
  </a>
  <a r="1">
    <v>116</v>
  </a>
  <a r="1">
    <v>117.5</v>
  </a>
  <a r="1">
    <v>112</v>
  </a>
  <a r="1">
    <v>139.5</v>
  </a>
  <a r="1">
    <v>137.5</v>
  </a>
  <a r="1">
    <v>131.25</v>
  </a>
  <a r="1">
    <v>133</v>
  </a>
  <a r="1">
    <v>130</v>
  </a>
  <a r="1">
    <v>126</v>
  </a>
  <a r="1">
    <v>128.5</v>
  </a>
  <a r="1">
    <v>120</v>
  </a>
  <a r="1">
    <v>122.5</v>
  </a>
  <a r="1">
    <v>114.5</v>
  </a>
  <a r="1">
    <v>106.25</v>
  </a>
  <a r="1">
    <v>90</v>
  </a>
  <a r="1">
    <v>97</v>
  </a>
  <a r="1">
    <v>105</v>
  </a>
  <a r="1">
    <v>104</v>
  </a>
  <a r="1">
    <v>110</v>
  </a>
  <a r="1">
    <v>107</v>
  </a>
  <a r="1">
    <v>108</v>
  </a>
  <a r="1">
    <v>109</v>
  </a>
  <a r="1">
    <v>108.5</v>
  </a>
  <a r="1">
    <v>101</v>
  </a>
  <a r="1">
    <v>110.5</v>
  </a>
  <a r="1">
    <v>117</v>
  </a>
  <a r="1">
    <v>123.5</v>
  </a>
  <a r="1">
    <v>135</v>
  </a>
  <a r="1">
    <v>145</v>
  </a>
  <a r="1">
    <v>120.5</v>
  </a>
  <a r="1">
    <v>119</v>
  </a>
  <a r="1">
    <v>125</v>
  </a>
  <a r="1">
    <v>116.5</v>
  </a>
  <a r="1">
    <v>107.5</v>
  </a>
  <a r="1">
    <v>103.5</v>
  </a>
  <a r="1">
    <v>99.4</v>
  </a>
  <a r="1">
    <v>118</v>
  </a>
  <a r="1">
    <v>95</v>
  </a>
</arrayData>
</file>

<file path=xl/richData/rdrichvalue.xml><?xml version="1.0" encoding="utf-8"?>
<rvData xmlns="http://schemas.microsoft.com/office/spreadsheetml/2017/richdata" count="104">
  <rv s="0">
    <fb>81.900000000000006</fb>
    <v>0</v>
  </rv>
  <rv s="0">
    <fb>84.6</fb>
    <v>0</v>
  </rv>
  <rv s="0">
    <fb>87.5</fb>
    <v>0</v>
  </rv>
  <rv s="0">
    <fb>90.4</fb>
    <v>0</v>
  </rv>
  <rv s="0">
    <fb>91.8</fb>
    <v>0</v>
  </rv>
  <rv s="0">
    <fb>102.5</fb>
    <v>0</v>
  </rv>
  <rv s="0">
    <fb>116</fb>
    <v>0</v>
  </rv>
  <rv s="0">
    <fb>117.5</fb>
    <v>0</v>
  </rv>
  <rv s="0">
    <fb>112</fb>
    <v>0</v>
  </rv>
  <rv s="0">
    <fb>139.5</fb>
    <v>0</v>
  </rv>
  <rv s="0">
    <fb>137.5</fb>
    <v>0</v>
  </rv>
  <rv s="0">
    <fb>131.25</fb>
    <v>0</v>
  </rv>
  <rv s="0">
    <fb>133</fb>
    <v>0</v>
  </rv>
  <rv s="0">
    <fb>130</fb>
    <v>0</v>
  </rv>
  <rv s="0">
    <fb>126</fb>
    <v>0</v>
  </rv>
  <rv s="0">
    <fb>128.5</fb>
    <v>0</v>
  </rv>
  <rv s="0">
    <fb>120</fb>
    <v>0</v>
  </rv>
  <rv s="0">
    <fb>122.5</fb>
    <v>0</v>
  </rv>
  <rv s="0">
    <fb>114.5</fb>
    <v>0</v>
  </rv>
  <rv s="0">
    <fb>106.25</fb>
    <v>0</v>
  </rv>
  <rv s="0">
    <fb>90</fb>
    <v>0</v>
  </rv>
  <rv s="0">
    <fb>97</fb>
    <v>0</v>
  </rv>
  <rv s="0">
    <fb>105</fb>
    <v>0</v>
  </rv>
  <rv s="0">
    <fb>104</fb>
    <v>0</v>
  </rv>
  <rv s="0">
    <fb>110</fb>
    <v>0</v>
  </rv>
  <rv s="0">
    <fb>107</fb>
    <v>0</v>
  </rv>
  <rv s="0">
    <fb>108</fb>
    <v>0</v>
  </rv>
  <rv s="0">
    <fb>109</fb>
    <v>0</v>
  </rv>
  <rv s="0">
    <fb>108.5</fb>
    <v>0</v>
  </rv>
  <rv s="0">
    <fb>101</fb>
    <v>0</v>
  </rv>
  <rv s="0">
    <fb>110.5</fb>
    <v>0</v>
  </rv>
  <rv s="0">
    <fb>117</fb>
    <v>0</v>
  </rv>
  <rv s="0">
    <fb>123.5</fb>
    <v>0</v>
  </rv>
  <rv s="0">
    <fb>135</fb>
    <v>0</v>
  </rv>
  <rv s="0">
    <fb>145</fb>
    <v>0</v>
  </rv>
  <rv s="0">
    <fb>120.5</fb>
    <v>0</v>
  </rv>
  <rv s="0">
    <fb>119</fb>
    <v>0</v>
  </rv>
  <rv s="0">
    <fb>125</fb>
    <v>0</v>
  </rv>
  <rv s="0">
    <fb>116.5</fb>
    <v>0</v>
  </rv>
  <rv s="0">
    <fb>107.5</fb>
    <v>0</v>
  </rv>
  <rv s="0">
    <fb>103.5</fb>
    <v>0</v>
  </rv>
  <rv s="0">
    <fb>118</fb>
    <v>0</v>
  </rv>
  <rv s="0">
    <fb>99.4</fb>
    <v>0</v>
  </rv>
  <rv s="0">
    <fb>95</fb>
    <v>0</v>
  </rv>
  <rv s="1">
    <v>1</v>
    <v>MACF</v>
    <v>Monthly</v>
    <v>44105</v>
    <v>44135</v>
    <v>0</v>
    <v>1</v>
    <v>637396128000000000,638954638600114946,0</v>
    <v>0</v>
    <v>aobftc</v>
    <v>XLON:MACF</v>
    <v>1</v>
  </rv>
  <rv s="1">
    <v>1</v>
    <v>MACF</v>
    <v>Monthly</v>
    <v>44136</v>
    <v>44165</v>
    <v>0</v>
    <v>1</v>
    <v>637422912000000000,638939619293791897,0</v>
    <v>0</v>
    <v>aobftc</v>
    <v>XLON:MACF</v>
    <v>2</v>
  </rv>
  <rv s="1">
    <v>1</v>
    <v>MACF</v>
    <v>Monthly</v>
    <v>44166</v>
    <v>44196</v>
    <v>0</v>
    <v>1</v>
    <v>637449696000000000,638939619293806483,0</v>
    <v>0</v>
    <v>aobftc</v>
    <v>XLON:MACF</v>
    <v>3</v>
  </rv>
  <rv s="1">
    <v>1</v>
    <v>MACF</v>
    <v>Monthly</v>
    <v>44197</v>
    <v>44227</v>
    <v>0</v>
    <v>1</v>
    <v>637474752000000000,638954638601528903,0</v>
    <v>0</v>
    <v>aobftc</v>
    <v>XLON:MACF</v>
    <v>4</v>
  </rv>
  <rv s="1">
    <v>1</v>
    <v>MACF</v>
    <v>Monthly</v>
    <v>44228</v>
    <v>44255</v>
    <v>0</v>
    <v>1</v>
    <v>637498944000000000,638954638601999006,0</v>
    <v>0</v>
    <v>aobftc</v>
    <v>XLON:MACF</v>
    <v>5</v>
  </rv>
  <rv s="1">
    <v>1</v>
    <v>MACF</v>
    <v>Monthly</v>
    <v>44256</v>
    <v>44286</v>
    <v>0</v>
    <v>1</v>
    <v>637527456000000000,638939619293856291,0</v>
    <v>0</v>
    <v>aobftc</v>
    <v>XLON:MACF</v>
    <v>6</v>
  </rv>
  <rv s="1">
    <v>1</v>
    <v>MACF</v>
    <v>Monthly</v>
    <v>44287</v>
    <v>44316</v>
    <v>0</v>
    <v>1</v>
    <v>637553376000000000,638939619293871548,0</v>
    <v>0</v>
    <v>aobftc</v>
    <v>XLON:MACF</v>
    <v>7</v>
  </rv>
  <rv s="1">
    <v>1</v>
    <v>MACF</v>
    <v>Monthly</v>
    <v>44317</v>
    <v>44347</v>
    <v>0</v>
    <v>1</v>
    <v>637580160000000000,638939619293891461,0</v>
    <v>0</v>
    <v>aobftc</v>
    <v>XLON:MACF</v>
    <v>8</v>
  </rv>
  <rv s="1">
    <v>1</v>
    <v>MACF</v>
    <v>Monthly</v>
    <v>44348</v>
    <v>44377</v>
    <v>0</v>
    <v>1</v>
    <v>637606080000000000,638939619293906050,0</v>
    <v>0</v>
    <v>aobftc</v>
    <v>XLON:MACF</v>
    <v>7</v>
  </rv>
  <rv s="1">
    <v>1</v>
    <v>MACF</v>
    <v>Monthly</v>
    <v>44378</v>
    <v>44408</v>
    <v>0</v>
    <v>1</v>
    <v>637632000000000000,638954638592832564,0</v>
    <v>0</v>
    <v>aobftc</v>
    <v>XLON:MACF</v>
    <v>9</v>
  </rv>
  <rv s="1">
    <v>1</v>
    <v>MACF</v>
    <v>Monthly</v>
    <v>44409</v>
    <v>44439</v>
    <v>0</v>
    <v>1</v>
    <v>637659648000000000,638939619294309613,0</v>
    <v>0</v>
    <v>aobftc</v>
    <v>XLON:MACF</v>
    <v>10</v>
  </rv>
  <rv s="1">
    <v>1</v>
    <v>MACF</v>
    <v>Monthly</v>
    <v>44440</v>
    <v>44469</v>
    <v>0</v>
    <v>1</v>
    <v>637685568000000000,638939619294458972,0</v>
    <v>0</v>
    <v>aobftc</v>
    <v>XLON:MACF</v>
    <v>11</v>
  </rv>
  <rv s="1">
    <v>1</v>
    <v>MACF</v>
    <v>Monthly</v>
    <v>44470</v>
    <v>44500</v>
    <v>0</v>
    <v>1</v>
    <v>637710624000000000,638954638593548484,0</v>
    <v>0</v>
    <v>aobftc</v>
    <v>XLON:MACF</v>
    <v>12</v>
  </rv>
  <rv s="1">
    <v>1</v>
    <v>MACF</v>
    <v>Monthly</v>
    <v>44501</v>
    <v>44530</v>
    <v>0</v>
    <v>1</v>
    <v>637738272000000000,638939619294767602,0</v>
    <v>0</v>
    <v>aobftc</v>
    <v>XLON:MACF</v>
    <v>13</v>
  </rv>
  <rv s="1">
    <v>1</v>
    <v>MACF</v>
    <v>Monthly</v>
    <v>44531</v>
    <v>44561</v>
    <v>0</v>
    <v>1</v>
    <v>637765056000000000,638939619294926920,0</v>
    <v>0</v>
    <v>aobftc</v>
    <v>XLON:MACF</v>
    <v>14</v>
  </rv>
  <rv s="1">
    <v>1</v>
    <v>MACF</v>
    <v>Monthly</v>
    <v>44562</v>
    <v>44592</v>
    <v>0</v>
    <v>1</v>
    <v>637791840000000000,638939619295076261,0</v>
    <v>0</v>
    <v>aobftc</v>
    <v>XLON:MACF</v>
    <v>15</v>
  </rv>
  <rv s="1">
    <v>1</v>
    <v>MACF</v>
    <v>Monthly</v>
    <v>44593</v>
    <v>44620</v>
    <v>0</v>
    <v>1</v>
    <v>637816032000000000,638939619295225606,0</v>
    <v>0</v>
    <v>aobftc</v>
    <v>XLON:MACF</v>
    <v>14</v>
  </rv>
  <rv s="1">
    <v>1</v>
    <v>MACF</v>
    <v>Monthly</v>
    <v>44621</v>
    <v>44651</v>
    <v>0</v>
    <v>1</v>
    <v>637842816000000000,638939619295384908,0</v>
    <v>0</v>
    <v>aobftc</v>
    <v>XLON:MACF</v>
    <v>16</v>
  </rv>
  <rv s="1">
    <v>1</v>
    <v>MACF</v>
    <v>Monthly</v>
    <v>44652</v>
    <v>44681</v>
    <v>0</v>
    <v>1</v>
    <v>637867872000000000,638954638593767145,0</v>
    <v>0</v>
    <v>aobftc</v>
    <v>XLON:MACF</v>
    <v>17</v>
  </rv>
  <rv s="1">
    <v>1</v>
    <v>MACF</v>
    <v>Monthly</v>
    <v>44682</v>
    <v>44712</v>
    <v>0</v>
    <v>1</v>
    <v>637895520000000000,638939619296566850,0</v>
    <v>0</v>
    <v>aobftc</v>
    <v>XLON:MACF</v>
    <v>18</v>
  </rv>
  <rv s="1">
    <v>1</v>
    <v>MACF</v>
    <v>Monthly</v>
    <v>44713</v>
    <v>44742</v>
    <v>0</v>
    <v>1</v>
    <v>637921440000000000,638939619297116975,0</v>
    <v>0</v>
    <v>aobftc</v>
    <v>XLON:MACF</v>
    <v>19</v>
  </rv>
  <rv s="1">
    <v>1</v>
    <v>MACF</v>
    <v>Monthly</v>
    <v>44743</v>
    <v>44773</v>
    <v>0</v>
    <v>1</v>
    <v>637946496000000000,638954638595187474,0</v>
    <v>0</v>
    <v>aobftc</v>
    <v>XLON:MACF</v>
    <v>7</v>
  </rv>
  <rv s="1">
    <v>1</v>
    <v>MACF</v>
    <v>Monthly</v>
    <v>44774</v>
    <v>44804</v>
    <v>0</v>
    <v>1</v>
    <v>637975008000000000,638939619298223742,0</v>
    <v>0</v>
    <v>aobftc</v>
    <v>XLON:MACF</v>
    <v>20</v>
  </rv>
  <rv s="1">
    <v>1</v>
    <v>MACF</v>
    <v>Monthly</v>
    <v>44805</v>
    <v>44834</v>
    <v>0</v>
    <v>1</v>
    <v>638000928000000000,638939619298773870,0</v>
    <v>0</v>
    <v>aobftc</v>
    <v>XLON:MACF</v>
    <v>21</v>
  </rv>
  <rv s="1">
    <v>1</v>
    <v>MACF</v>
    <v>Monthly</v>
    <v>44835</v>
    <v>44865</v>
    <v>0</v>
    <v>1</v>
    <v>638027712000000000,638939619299324000,0</v>
    <v>0</v>
    <v>aobftc</v>
    <v>XLON:MACF</v>
    <v>22</v>
  </rv>
  <rv s="1">
    <v>1</v>
    <v>MACF</v>
    <v>Monthly</v>
    <v>44866</v>
    <v>44895</v>
    <v>0</v>
    <v>1</v>
    <v>638053632000000000,638939619299874129,0</v>
    <v>0</v>
    <v>aobftc</v>
    <v>XLON:MACF</v>
    <v>23</v>
  </rv>
  <rv s="1">
    <v>1</v>
    <v>MACF</v>
    <v>Monthly</v>
    <v>44896</v>
    <v>44926</v>
    <v>0</v>
    <v>1</v>
    <v>638079552000000000,638954638597524323,0</v>
    <v>0</v>
    <v>aobftc</v>
    <v>XLON:MACF</v>
    <v>24</v>
  </rv>
  <rv s="1">
    <v>1</v>
    <v>MACF</v>
    <v>Monthly</v>
    <v>44927</v>
    <v>44957</v>
    <v>0</v>
    <v>1</v>
    <v>638107200000000000,638939619300977868,0</v>
    <v>0</v>
    <v>aobftc</v>
    <v>XLON:MACF</v>
    <v>24</v>
  </rv>
  <rv s="1">
    <v>1</v>
    <v>MACF</v>
    <v>Monthly</v>
    <v>44958</v>
    <v>44985</v>
    <v>0</v>
    <v>1</v>
    <v>638131392000000000,638939619301524523,0</v>
    <v>0</v>
    <v>aobftc</v>
    <v>XLON:MACF</v>
    <v>25</v>
  </rv>
  <rv s="1">
    <v>1</v>
    <v>MACF</v>
    <v>Monthly</v>
    <v>44986</v>
    <v>45016</v>
    <v>0</v>
    <v>1</v>
    <v>638158176000000000,638939619293972725,0</v>
    <v>0</v>
    <v>aobftc</v>
    <v>XLON:MACF</v>
    <v>26</v>
  </rv>
  <rv s="1">
    <v>1</v>
    <v>MACF</v>
    <v>Monthly</v>
    <v>45017</v>
    <v>45046</v>
    <v>0</v>
    <v>1</v>
    <v>638182368000000000,638954638594877402,0</v>
    <v>0</v>
    <v>aobftc</v>
    <v>XLON:MACF</v>
    <v>26</v>
  </rv>
  <rv s="1">
    <v>1</v>
    <v>MACF</v>
    <v>Monthly</v>
    <v>45047</v>
    <v>45077</v>
    <v>0</v>
    <v>1</v>
    <v>638210880000000000,638939619294044623,0</v>
    <v>0</v>
    <v>aobftc</v>
    <v>XLON:MACF</v>
    <v>25</v>
  </rv>
  <rv s="1">
    <v>1</v>
    <v>MACF</v>
    <v>Monthly</v>
    <v>45078</v>
    <v>45107</v>
    <v>0</v>
    <v>1</v>
    <v>638236800000000000,638939619294064599,0</v>
    <v>0</v>
    <v>aobftc</v>
    <v>XLON:MACF</v>
    <v>27</v>
  </rv>
  <rv s="1">
    <v>1</v>
    <v>MACF</v>
    <v>Monthly</v>
    <v>45108</v>
    <v>45138</v>
    <v>0</v>
    <v>1</v>
    <v>638263584000000000,638939619294084511,0</v>
    <v>0</v>
    <v>aobftc</v>
    <v>XLON:MACF</v>
    <v>25</v>
  </rv>
  <rv s="1">
    <v>1</v>
    <v>MACF</v>
    <v>Monthly</v>
    <v>45139</v>
    <v>45169</v>
    <v>0</v>
    <v>1</v>
    <v>638290368000000000,638939619294094492,0</v>
    <v>0</v>
    <v>aobftc</v>
    <v>XLON:MACF</v>
    <v>28</v>
  </rv>
  <rv s="1">
    <v>1</v>
    <v>MACF</v>
    <v>Monthly</v>
    <v>45170</v>
    <v>45199</v>
    <v>0</v>
    <v>1</v>
    <v>638315424000000000,638954638597424299,0</v>
    <v>0</v>
    <v>aobftc</v>
    <v>XLON:MACF</v>
    <v>29</v>
  </rv>
  <rv s="1">
    <v>1</v>
    <v>MACF</v>
    <v>Monthly</v>
    <v>45200</v>
    <v>45230</v>
    <v>0</v>
    <v>1</v>
    <v>638343072000000000,638939619294132021,0</v>
    <v>0</v>
    <v>aobftc</v>
    <v>XLON:MACF</v>
    <v>30</v>
  </rv>
  <rv s="1">
    <v>1</v>
    <v>MACF</v>
    <v>Monthly</v>
    <v>45231</v>
    <v>45260</v>
    <v>0</v>
    <v>1</v>
    <v>638368992000000000,638939619294154206,0</v>
    <v>0</v>
    <v>aobftc</v>
    <v>XLON:MACF</v>
    <v>31</v>
  </rv>
  <rv s="1">
    <v>1</v>
    <v>MACF</v>
    <v>Monthly</v>
    <v>45261</v>
    <v>45291</v>
    <v>0</v>
    <v>1</v>
    <v>638394048000000000,638954638592298008,0</v>
    <v>0</v>
    <v>aobftc</v>
    <v>XLON:MACF</v>
    <v>32</v>
  </rv>
  <rv s="1">
    <v>1</v>
    <v>MACF</v>
    <v>Monthly</v>
    <v>45292</v>
    <v>45322</v>
    <v>0</v>
    <v>1</v>
    <v>638422560000000000,638939619294604806,0</v>
    <v>0</v>
    <v>aobftc</v>
    <v>XLON:MACF</v>
    <v>15</v>
  </rv>
  <rv s="1">
    <v>1</v>
    <v>MACF</v>
    <v>Monthly</v>
    <v>45323</v>
    <v>45351</v>
    <v>0</v>
    <v>1</v>
    <v>638447616000000000,638939619294760969,0</v>
    <v>0</v>
    <v>aobftc</v>
    <v>XLON:MACF</v>
    <v>33</v>
  </rv>
  <rv s="1">
    <v>1</v>
    <v>MACF</v>
    <v>Monthly</v>
    <v>45352</v>
    <v>45382</v>
    <v>0</v>
    <v>1</v>
    <v>638471808000000000,638954638592795676,0</v>
    <v>0</v>
    <v>aobftc</v>
    <v>XLON:MACF</v>
    <v>34</v>
  </rv>
  <rv s="1">
    <v>1</v>
    <v>MACF</v>
    <v>Monthly</v>
    <v>45383</v>
    <v>45412</v>
    <v>0</v>
    <v>1</v>
    <v>638500320000000000,638939619295081041,0</v>
    <v>0</v>
    <v>aobftc</v>
    <v>XLON:MACF</v>
    <v>35</v>
  </rv>
  <rv s="1">
    <v>1</v>
    <v>MACF</v>
    <v>Monthly</v>
    <v>45413</v>
    <v>45443</v>
    <v>0</v>
    <v>1</v>
    <v>638527104000000000,638939619295231075,0</v>
    <v>0</v>
    <v>aobftc</v>
    <v>XLON:MACF</v>
    <v>36</v>
  </rv>
  <rv s="1">
    <v>1</v>
    <v>MACF</v>
    <v>Monthly</v>
    <v>45444</v>
    <v>45473</v>
    <v>0</v>
    <v>1</v>
    <v>638551296000000000,638954638593293476,0</v>
    <v>0</v>
    <v>aobftc</v>
    <v>XLON:MACF</v>
    <v>37</v>
  </rv>
  <rv s="1">
    <v>1</v>
    <v>MACF</v>
    <v>Monthly</v>
    <v>45474</v>
    <v>45504</v>
    <v>0</v>
    <v>1</v>
    <v>638579808000000000,638939619295531141,0</v>
    <v>0</v>
    <v>aobftc</v>
    <v>XLON:MACF</v>
    <v>38</v>
  </rv>
  <rv s="1">
    <v>1</v>
    <v>MACF</v>
    <v>Monthly</v>
    <v>45505</v>
    <v>45535</v>
    <v>0</v>
    <v>1</v>
    <v>638605728000000000,638954638593618327,0</v>
    <v>0</v>
    <v>aobftc</v>
    <v>XLON:MACF</v>
    <v>39</v>
  </rv>
  <rv s="1">
    <v>1</v>
    <v>MACF</v>
    <v>Monthly</v>
    <v>45536</v>
    <v>45565</v>
    <v>0</v>
    <v>1</v>
    <v>638632512000000000,638939619295835068,0</v>
    <v>0</v>
    <v>aobftc</v>
    <v>XLON:MACF</v>
    <v>31</v>
  </rv>
  <rv s="1">
    <v>1</v>
    <v>MACF</v>
    <v>Monthly</v>
    <v>45566</v>
    <v>45596</v>
    <v>0</v>
    <v>1</v>
    <v>638659296000000000,638939619295981238,0</v>
    <v>0</v>
    <v>aobftc</v>
    <v>XLON:MACF</v>
    <v>9</v>
  </rv>
  <rv s="1">
    <v>1</v>
    <v>MACF</v>
    <v>Monthly</v>
    <v>45597</v>
    <v>45626</v>
    <v>0</v>
    <v>1</v>
    <v>638684352000000000,638954638592703122,0</v>
    <v>0</v>
    <v>aobftc</v>
    <v>XLON:MACF</v>
    <v>23</v>
  </rv>
  <rv s="1">
    <v>1</v>
    <v>MACF</v>
    <v>Monthly</v>
    <v>45627</v>
    <v>45657</v>
    <v>0</v>
    <v>1</v>
    <v>638712000000000000,638939619296283289,0</v>
    <v>0</v>
    <v>aobftc</v>
    <v>XLON:MACF</v>
    <v>40</v>
  </rv>
  <rv s="1">
    <v>1</v>
    <v>MACF</v>
    <v>Monthly</v>
    <v>45658</v>
    <v>45688</v>
    <v>0</v>
    <v>1</v>
    <v>638738784000000000,638939619296643377,0</v>
    <v>0</v>
    <v>aobftc</v>
    <v>XLON:MACF</v>
    <v>28</v>
  </rv>
  <rv s="1">
    <v>1</v>
    <v>MACF</v>
    <v>Monthly</v>
    <v>45689</v>
    <v>45716</v>
    <v>0</v>
    <v>1</v>
    <v>638762976000000000,638939619297003459,0</v>
    <v>0</v>
    <v>aobftc</v>
    <v>XLON:MACF</v>
    <v>41</v>
  </rv>
  <rv s="1">
    <v>1</v>
    <v>MACF</v>
    <v>Monthly</v>
    <v>45717</v>
    <v>45747</v>
    <v>0</v>
    <v>1</v>
    <v>638789760000000000,638939619297363544,0</v>
    <v>0</v>
    <v>aobftc</v>
    <v>XLON:MACF</v>
    <v>30</v>
  </rv>
  <rv s="1">
    <v>1</v>
    <v>MACF</v>
    <v>Monthly</v>
    <v>45748</v>
    <v>45777</v>
    <v>0</v>
    <v>1</v>
    <v>638815680000000000,638939619297740760,0</v>
    <v>0</v>
    <v>aobftc</v>
    <v>XLON:MACF</v>
    <v>41</v>
  </rv>
  <rv s="1">
    <v>1</v>
    <v>MACF</v>
    <v>Monthly</v>
    <v>45778</v>
    <v>45808</v>
    <v>0</v>
    <v>1</v>
    <v>638841600000000000,638954638594115988,0</v>
    <v>0</v>
    <v>aobftc</v>
    <v>XLON:MACF</v>
    <v>32</v>
  </rv>
  <rv s="1">
    <v>1</v>
    <v>MACF</v>
    <v>Monthly</v>
    <v>45839</v>
    <v>45869</v>
    <v>0</v>
    <v>1</v>
    <v>638895168000000000,638939619298463799,0</v>
    <v>0</v>
    <v>aobftc</v>
    <v>XLON:MACF</v>
    <v>42</v>
  </rv>
  <rv s="1">
    <v>1</v>
    <v>MACF</v>
    <v>Monthly</v>
    <v>45809</v>
    <v>45838</v>
    <v>0</v>
    <v>1</v>
    <v>638868384000000000,638939619298820991,0</v>
    <v>0</v>
    <v>aobftc</v>
    <v>XLON:MACF</v>
    <v>43</v>
  </rv>
  <rv s="1">
    <v>1</v>
    <v>MACF</v>
    <v>Monthly</v>
    <v>45870</v>
    <v>45900</v>
    <v>0</v>
    <v>1</v>
    <v>638920224000000000,638954638594593889,0</v>
    <v>0</v>
    <v>aobftc</v>
    <v>XLON:MACF</v>
    <v>44</v>
  </rv>
  <rv s="1">
    <v>1</v>
    <v>MACF</v>
    <v>Monthly</v>
    <v>45901</v>
    <v>45930</v>
    <v>0</v>
    <v>1</v>
    <v>638947872000000000,638954638592663300,0</v>
    <v>0</v>
    <v>aobftc</v>
    <v>XLON:MACF</v>
    <v>5</v>
  </rv>
</rvData>
</file>

<file path=xl/richData/rdrichvaluestructure.xml><?xml version="1.0" encoding="utf-8"?>
<rvStructures xmlns="http://schemas.microsoft.com/office/spreadsheetml/2017/richdata" count="2">
  <s t="_formattednumber">
    <k n="_Format" t="spb"/>
  </s>
  <s t="_stockhistorycache">
    <k n="_Format" t="spb"/>
    <k n="Symbol" t="s"/>
    <k n="Interval" t="s"/>
    <k n="StartDate" t="i"/>
    <k n="EndDate" t="i"/>
    <k n="f1904" t="b"/>
    <k n="fdcompat" t="b"/>
    <k n="etag" t="s"/>
    <k n="Date" t="a"/>
    <k n="EntityId" t="s"/>
    <k n="Instrument" t="s"/>
    <k n="Close" t="a"/>
  </s>
</rvStructures>
</file>

<file path=xl/richData/rdsupportingpropertybag.xml><?xml version="1.0" encoding="utf-8"?>
<supportingPropertyBags xmlns="http://schemas.microsoft.com/office/spreadsheetml/2017/richdata2">
  <spbData count="2">
    <spb s="0">
      <v>1</v>
    </spb>
    <spb s="1">
      <v>2</v>
      <v>1</v>
    </spb>
  </spbData>
</supportingPropertyBags>
</file>

<file path=xl/richData/rdsupportingpropertybagstructure.xml><?xml version="1.0" encoding="utf-8"?>
<spbStructures xmlns="http://schemas.microsoft.com/office/spreadsheetml/2017/richdata2" count="2">
  <s>
    <k n="_Self" t="i"/>
  </s>
  <s>
    <k n="Date" t="i"/>
    <k n="Close" t="i"/>
  </s>
</spbStructures>
</file>

<file path=xl/richData/richStyles.xml><?xml version="1.0" encoding="utf-8"?>
<richStyleSheet xmlns="http://schemas.microsoft.com/office/spreadsheetml/2017/richdata2" xmlns:mc="http://schemas.openxmlformats.org/markup-compatibility/2006" xmlns:x="http://schemas.openxmlformats.org/spreadsheetml/2006/main" mc:Ignorable="x">
  <dxfs count="2">
    <x:dxf>
      <x:numFmt numFmtId="19" formatCode="m/d/yy"/>
    </x:dxf>
    <x:dxf>
      <x:numFmt numFmtId="35" formatCode="_(* #,##0.00_);_(* \(#,##0.00\);_(* &quot;-&quot;??_);_(@_)"/>
    </x:dxf>
  </dxfs>
  <richProperties>
    <rPr n="NumberFormat" t="s"/>
  </richProperties>
  <richStyles>
    <rSty dxfid="1">
      <rpv i="0">_(* #,##0.00_);_(* (#,##0.00);_(* "-"??_);_(@_)</rpv>
    </rSty>
    <rSty dxfid="0"/>
  </richStyles>
</richStyleShee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C67DFF-FA32-4445-8338-DAFD2AD9FD39}" name="Table11" displayName="Table11" ref="B12:M72" totalsRowShown="0" headerRowDxfId="12" tableBorderDxfId="11" headerRowCellStyle="Accent1" dataCellStyle="Normal">
  <autoFilter ref="B12:M72" xr:uid="{5B1F32B7-E795-5042-9B7E-8FDB0CF2D36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</autoFilter>
  <tableColumns count="12">
    <tableColumn id="1" xr3:uid="{6DD5B53E-FC82-2C4F-ACC9-D17E67524C1F}" name="Month" dataCellStyle="Normal">
      <calculatedColumnFormula>EDATE(B12,1)</calculatedColumnFormula>
    </tableColumn>
    <tableColumn id="2" xr3:uid="{CA2863CA-1544-904B-9508-2A284A45CC1B}" name="Time period" dataCellStyle="Normal">
      <calculatedColumnFormula>C12+1</calculatedColumnFormula>
    </tableColumn>
    <tableColumn id="3" xr3:uid="{61F0B42F-54CD-B545-8771-103F4BBBDA29}" name="Index" dataCellStyle="Normal"/>
    <tableColumn id="4" xr3:uid="{8C8F603D-3AFE-9B49-8FB2-F8E30C3A4993}" name="Price(Stock)" dataCellStyle="Normal">
      <calculatedColumnFormula array="1">INDEX(_xlfn.STOCKHISTORY('Statements Input'!$C$3,'Beta Calculation'!B13,,2,,1),2)</calculatedColumnFormula>
    </tableColumn>
    <tableColumn id="5" xr3:uid="{622A7E3D-78A4-EB4A-814F-40E33C60B67D}" name="DPS(Stock)" dataCellStyle="Normal"/>
    <tableColumn id="6" xr3:uid="{13E740E1-61A1-D34D-9D56-716A7298C4E2}" name="Split Factor" dataCellStyle="Normal"/>
    <tableColumn id="7" xr3:uid="{882CE7A8-61B9-9A46-A45E-421E654AB1E3}" name="Index Level" dataCellStyle="Normal"/>
    <tableColumn id="8" xr3:uid="{ACA697E4-FD7A-4D4B-9DA7-E1C7D84F3F9B}" name="Return(Stock)" dataCellStyle="Normal">
      <calculatedColumnFormula>((E13*G13-E12+F13*G13)/E12)*D13</calculatedColumnFormula>
    </tableColumn>
    <tableColumn id="9" xr3:uid="{6036DD0C-C0AC-844D-9D75-9ACFB05F2850}" name="Return(Mkt)" dataCellStyle="Normal">
      <calculatedColumnFormula>((H13-H12)/H12)*D13</calculatedColumnFormula>
    </tableColumn>
    <tableColumn id="10" xr3:uid="{DE7002D7-78E7-1543-8693-6C2275472F7C}" name="(R(jt)-Rj)^2" dataCellStyle="Normal"/>
    <tableColumn id="11" xr3:uid="{A7AEA58E-210E-3649-BEB3-565DAB6BC1E5}" name="(R(mt)-R(m))^2" dataCellStyle="Normal"/>
    <tableColumn id="12" xr3:uid="{FA7CE8F8-B11C-A940-96B4-0EFD92FAE671}" name="(R(jt)-R(j))" dataCellStyle="Normal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Breakingwallstreet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8730DC-4252-9C40-AF33-2A90F296055E}">
  <sheetPr codeName="Sheet1"/>
  <dimension ref="A1:S153"/>
  <sheetViews>
    <sheetView showGridLines="0" tabSelected="1" workbookViewId="0">
      <pane ySplit="1" topLeftCell="A2" activePane="bottomLeft" state="frozen"/>
      <selection activeCell="C5" sqref="C5"/>
      <selection pane="bottomLeft" activeCell="C10" sqref="C10"/>
    </sheetView>
  </sheetViews>
  <sheetFormatPr baseColWidth="10" defaultRowHeight="16"/>
  <cols>
    <col min="1" max="1" width="2.5" customWidth="1"/>
    <col min="2" max="2" width="21" customWidth="1"/>
    <col min="3" max="3" width="24.5" customWidth="1"/>
    <col min="8" max="8" width="14.83203125" customWidth="1"/>
    <col min="9" max="14" width="13.1640625" bestFit="1" customWidth="1"/>
    <col min="16" max="18" width="12.5" bestFit="1" customWidth="1"/>
    <col min="19" max="19" width="23.6640625" customWidth="1"/>
  </cols>
  <sheetData>
    <row r="1" spans="1:14" s="116" customFormat="1" ht="24">
      <c r="A1" s="116" t="str">
        <f>C5</f>
        <v>Macfarlane</v>
      </c>
    </row>
    <row r="3" spans="1:14">
      <c r="B3" t="s">
        <v>21</v>
      </c>
      <c r="C3" s="4" t="s">
        <v>25</v>
      </c>
    </row>
    <row r="4" spans="1:14">
      <c r="B4" t="s">
        <v>210</v>
      </c>
      <c r="C4" s="4" t="s">
        <v>25</v>
      </c>
    </row>
    <row r="5" spans="1:14">
      <c r="B5" t="s">
        <v>22</v>
      </c>
      <c r="C5" s="4" t="s">
        <v>24</v>
      </c>
    </row>
    <row r="6" spans="1:14">
      <c r="B6" t="s">
        <v>23</v>
      </c>
      <c r="C6" s="5">
        <v>2025</v>
      </c>
    </row>
    <row r="7" spans="1:14" ht="17" customHeight="1">
      <c r="B7" t="s">
        <v>26</v>
      </c>
      <c r="C7" s="5">
        <v>1000</v>
      </c>
    </row>
    <row r="8" spans="1:14" ht="17" customHeight="1">
      <c r="B8" t="s">
        <v>96</v>
      </c>
      <c r="C8" s="17">
        <v>0.25</v>
      </c>
    </row>
    <row r="9" spans="1:14" ht="17" customHeight="1">
      <c r="B9" t="s">
        <v>177</v>
      </c>
      <c r="C9" s="5">
        <v>0.89</v>
      </c>
    </row>
    <row r="11" spans="1:14" ht="18" customHeight="1">
      <c r="B11" s="12" t="s">
        <v>0</v>
      </c>
      <c r="C11" s="12"/>
      <c r="D11" s="12"/>
      <c r="E11" s="12">
        <f t="shared" ref="E11:I11" si="0">F11-1</f>
        <v>2016</v>
      </c>
      <c r="F11" s="12">
        <f t="shared" si="0"/>
        <v>2017</v>
      </c>
      <c r="G11" s="12">
        <f t="shared" si="0"/>
        <v>2018</v>
      </c>
      <c r="H11" s="12">
        <f t="shared" si="0"/>
        <v>2019</v>
      </c>
      <c r="I11" s="12">
        <f t="shared" si="0"/>
        <v>2020</v>
      </c>
      <c r="J11" s="12">
        <f>K11-1</f>
        <v>2021</v>
      </c>
      <c r="K11" s="12">
        <f>L11-1</f>
        <v>2022</v>
      </c>
      <c r="L11" s="12">
        <f>M11-1</f>
        <v>2023</v>
      </c>
      <c r="M11" s="12">
        <f>N11-1</f>
        <v>2024</v>
      </c>
      <c r="N11" s="12">
        <f>C6</f>
        <v>2025</v>
      </c>
    </row>
    <row r="12" spans="1:14">
      <c r="B12" s="2" t="s">
        <v>1</v>
      </c>
      <c r="E12" s="7"/>
      <c r="F12" s="7"/>
      <c r="G12" s="7"/>
      <c r="H12" s="7">
        <v>225246</v>
      </c>
      <c r="I12" s="7">
        <v>230029</v>
      </c>
      <c r="J12" s="7">
        <v>264465</v>
      </c>
      <c r="K12" s="7">
        <v>290431</v>
      </c>
      <c r="L12" s="7">
        <v>280714</v>
      </c>
      <c r="M12" s="7">
        <v>270347</v>
      </c>
      <c r="N12" s="7">
        <v>287430</v>
      </c>
    </row>
    <row r="13" spans="1:14">
      <c r="B13" s="2" t="s">
        <v>2</v>
      </c>
      <c r="E13" s="7"/>
      <c r="F13" s="7"/>
      <c r="G13" s="7"/>
      <c r="H13" s="7">
        <v>-153256</v>
      </c>
      <c r="I13" s="7">
        <v>-153483</v>
      </c>
      <c r="J13" s="7">
        <v>-174998</v>
      </c>
      <c r="K13" s="7">
        <v>-192374</v>
      </c>
      <c r="L13" s="7">
        <v>-175033</v>
      </c>
      <c r="M13" s="7">
        <v>-165065</v>
      </c>
      <c r="N13" s="7">
        <v>-178130</v>
      </c>
    </row>
    <row r="14" spans="1:14">
      <c r="B14" s="2"/>
    </row>
    <row r="15" spans="1:14" ht="17" thickBot="1">
      <c r="B15" s="55" t="s">
        <v>28</v>
      </c>
      <c r="C15" s="55"/>
      <c r="D15" s="55"/>
      <c r="E15" s="56">
        <f>E12+E13</f>
        <v>0</v>
      </c>
      <c r="F15" s="56">
        <f t="shared" ref="F15:N15" si="1">F12+F13</f>
        <v>0</v>
      </c>
      <c r="G15" s="56">
        <f t="shared" si="1"/>
        <v>0</v>
      </c>
      <c r="H15" s="56">
        <f t="shared" si="1"/>
        <v>71990</v>
      </c>
      <c r="I15" s="56">
        <f t="shared" si="1"/>
        <v>76546</v>
      </c>
      <c r="J15" s="56">
        <f t="shared" si="1"/>
        <v>89467</v>
      </c>
      <c r="K15" s="56">
        <f t="shared" si="1"/>
        <v>98057</v>
      </c>
      <c r="L15" s="56">
        <f t="shared" si="1"/>
        <v>105681</v>
      </c>
      <c r="M15" s="56">
        <f t="shared" si="1"/>
        <v>105282</v>
      </c>
      <c r="N15" s="56">
        <f t="shared" si="1"/>
        <v>109300</v>
      </c>
    </row>
    <row r="16" spans="1:14" ht="17" thickTop="1"/>
    <row r="17" spans="2:19">
      <c r="B17" s="2" t="s">
        <v>3</v>
      </c>
    </row>
    <row r="18" spans="2:19">
      <c r="B18" s="1" t="s">
        <v>4</v>
      </c>
      <c r="E18" s="7"/>
      <c r="F18" s="7"/>
      <c r="G18" s="7"/>
      <c r="H18" s="7"/>
      <c r="I18" s="7"/>
      <c r="J18" s="7"/>
      <c r="K18" s="7"/>
      <c r="L18" s="7"/>
      <c r="M18" s="7"/>
      <c r="N18" s="7"/>
    </row>
    <row r="19" spans="2:19">
      <c r="B19" s="1" t="s">
        <v>5</v>
      </c>
      <c r="E19" s="7"/>
      <c r="F19" s="7"/>
      <c r="G19" s="7"/>
      <c r="H19" s="7">
        <v>-34937</v>
      </c>
      <c r="I19" s="7">
        <f>-35027</f>
        <v>-35027</v>
      </c>
      <c r="J19" s="7">
        <f>-40201</f>
        <v>-40201</v>
      </c>
      <c r="K19" s="7">
        <v>-43850</v>
      </c>
      <c r="L19" s="7">
        <v>-48665</v>
      </c>
      <c r="M19" s="7">
        <v>-48614</v>
      </c>
      <c r="N19" s="7">
        <f>-0.176*N12</f>
        <v>-50587.68</v>
      </c>
    </row>
    <row r="20" spans="2:19">
      <c r="B20" s="1" t="s">
        <v>135</v>
      </c>
      <c r="E20" s="7"/>
      <c r="F20" s="7"/>
      <c r="G20" s="7"/>
      <c r="H20" s="7">
        <v>0</v>
      </c>
      <c r="I20" s="7"/>
      <c r="J20" s="7">
        <v>0</v>
      </c>
      <c r="K20" s="7">
        <v>0</v>
      </c>
      <c r="L20" s="7">
        <v>0</v>
      </c>
      <c r="M20" s="7">
        <v>0</v>
      </c>
      <c r="N20" s="7">
        <v>0</v>
      </c>
    </row>
    <row r="21" spans="2:19">
      <c r="B21" s="1" t="s">
        <v>134</v>
      </c>
      <c r="E21" s="7"/>
      <c r="F21" s="7"/>
      <c r="G21" s="7"/>
      <c r="H21" s="7">
        <v>-6223</v>
      </c>
      <c r="I21" s="7">
        <f>-6740</f>
        <v>-6740</v>
      </c>
      <c r="J21" s="7">
        <v>-6899</v>
      </c>
      <c r="K21" s="7">
        <v>-7542</v>
      </c>
      <c r="L21" s="7">
        <v>-7854</v>
      </c>
      <c r="M21" s="7">
        <v>-8878</v>
      </c>
      <c r="N21" s="7">
        <f>-9597</f>
        <v>-9597</v>
      </c>
    </row>
    <row r="22" spans="2:19">
      <c r="B22" s="1" t="s">
        <v>136</v>
      </c>
      <c r="E22" s="7"/>
      <c r="F22" s="7"/>
      <c r="G22" s="7"/>
      <c r="H22" s="7">
        <v>-1598</v>
      </c>
      <c r="I22" s="7">
        <v>-1719</v>
      </c>
      <c r="J22" s="7">
        <f>-(1475)</f>
        <v>-1475</v>
      </c>
      <c r="K22" s="7">
        <f>-(1498)</f>
        <v>-1498</v>
      </c>
      <c r="L22" s="7">
        <f>-(1720)</f>
        <v>-1720</v>
      </c>
      <c r="M22" s="7">
        <f>-(1879)</f>
        <v>-1879</v>
      </c>
      <c r="N22" s="7">
        <v>-2224</v>
      </c>
      <c r="P22" s="22"/>
      <c r="Q22" s="22"/>
      <c r="R22" s="22"/>
    </row>
    <row r="23" spans="2:19">
      <c r="B23" s="1" t="s">
        <v>6</v>
      </c>
      <c r="E23" s="7"/>
      <c r="F23" s="7"/>
      <c r="G23" s="7"/>
      <c r="H23" s="7">
        <f>-8441-3913</f>
        <v>-12354</v>
      </c>
      <c r="I23" s="7">
        <f>-8429-7722</f>
        <v>-16151</v>
      </c>
      <c r="J23" s="7">
        <f>-8651-217-5347</f>
        <v>-14215</v>
      </c>
      <c r="K23" s="7">
        <f>-10736-186-5595-3577</f>
        <v>-20094</v>
      </c>
      <c r="L23" s="7">
        <f>-10485-10855</f>
        <v>-21340</v>
      </c>
      <c r="M23" s="7">
        <f>-11165-198-6629</f>
        <v>-17992</v>
      </c>
      <c r="N23" s="7">
        <f>-0.066*N12-3264</f>
        <v>-22234.38</v>
      </c>
    </row>
    <row r="24" spans="2:19" ht="17" thickBot="1">
      <c r="B24" s="54" t="s">
        <v>27</v>
      </c>
      <c r="C24" s="55"/>
      <c r="D24" s="55"/>
      <c r="E24" s="56">
        <f t="shared" ref="E24:N24" si="2">SUM(E18:E23)</f>
        <v>0</v>
      </c>
      <c r="F24" s="56">
        <f t="shared" si="2"/>
        <v>0</v>
      </c>
      <c r="G24" s="56">
        <f t="shared" si="2"/>
        <v>0</v>
      </c>
      <c r="H24" s="56">
        <f t="shared" si="2"/>
        <v>-55112</v>
      </c>
      <c r="I24" s="56">
        <f t="shared" si="2"/>
        <v>-59637</v>
      </c>
      <c r="J24" s="56">
        <f t="shared" si="2"/>
        <v>-62790</v>
      </c>
      <c r="K24" s="56">
        <f t="shared" si="2"/>
        <v>-72984</v>
      </c>
      <c r="L24" s="56">
        <f t="shared" si="2"/>
        <v>-79579</v>
      </c>
      <c r="M24" s="56">
        <f t="shared" si="2"/>
        <v>-77363</v>
      </c>
      <c r="N24" s="56">
        <f t="shared" si="2"/>
        <v>-84643.06</v>
      </c>
    </row>
    <row r="25" spans="2:19" ht="17" thickTop="1">
      <c r="S25" s="80"/>
    </row>
    <row r="26" spans="2:19" ht="17" thickBot="1">
      <c r="B26" s="54" t="s">
        <v>7</v>
      </c>
      <c r="C26" s="55"/>
      <c r="D26" s="55"/>
      <c r="E26" s="56">
        <f t="shared" ref="E26:N26" si="3">E15+E24</f>
        <v>0</v>
      </c>
      <c r="F26" s="56">
        <f t="shared" si="3"/>
        <v>0</v>
      </c>
      <c r="G26" s="56">
        <f t="shared" si="3"/>
        <v>0</v>
      </c>
      <c r="H26" s="56">
        <f t="shared" si="3"/>
        <v>16878</v>
      </c>
      <c r="I26" s="56">
        <f t="shared" si="3"/>
        <v>16909</v>
      </c>
      <c r="J26" s="56">
        <f t="shared" si="3"/>
        <v>26677</v>
      </c>
      <c r="K26" s="56">
        <f t="shared" si="3"/>
        <v>25073</v>
      </c>
      <c r="L26" s="56">
        <f t="shared" si="3"/>
        <v>26102</v>
      </c>
      <c r="M26" s="56">
        <f t="shared" si="3"/>
        <v>27919</v>
      </c>
      <c r="N26" s="56">
        <f t="shared" si="3"/>
        <v>24656.940000000002</v>
      </c>
      <c r="Q26" s="9"/>
    </row>
    <row r="27" spans="2:19" ht="17" thickTop="1">
      <c r="B27" s="1" t="s">
        <v>282</v>
      </c>
      <c r="E27" s="22" t="str">
        <f>IFERROR(E26/E12,"-")</f>
        <v>-</v>
      </c>
      <c r="F27" s="22" t="str">
        <f t="shared" ref="F27:N27" si="4">IFERROR(F26/F12,"-")</f>
        <v>-</v>
      </c>
      <c r="G27" s="22" t="str">
        <f t="shared" si="4"/>
        <v>-</v>
      </c>
      <c r="H27" s="22">
        <f t="shared" si="4"/>
        <v>7.4931408326895932E-2</v>
      </c>
      <c r="I27" s="22">
        <f t="shared" si="4"/>
        <v>7.3508122888853139E-2</v>
      </c>
      <c r="J27" s="22">
        <f t="shared" si="4"/>
        <v>0.10087157090730342</v>
      </c>
      <c r="K27" s="22">
        <f t="shared" si="4"/>
        <v>8.6330315978666194E-2</v>
      </c>
      <c r="L27" s="22">
        <f t="shared" si="4"/>
        <v>9.2984318559102858E-2</v>
      </c>
      <c r="M27" s="22">
        <f t="shared" si="4"/>
        <v>0.10327098136838951</v>
      </c>
      <c r="N27" s="22">
        <f t="shared" si="4"/>
        <v>8.5784156142365106E-2</v>
      </c>
      <c r="Q27" s="9"/>
      <c r="S27" s="80"/>
    </row>
    <row r="29" spans="2:19">
      <c r="B29" s="2" t="s">
        <v>8</v>
      </c>
      <c r="S29" s="9"/>
    </row>
    <row r="30" spans="2:19">
      <c r="B30" s="1" t="s">
        <v>9</v>
      </c>
      <c r="E30" s="7"/>
      <c r="F30" s="7"/>
      <c r="G30" s="7"/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</row>
    <row r="31" spans="2:19">
      <c r="B31" s="1" t="s">
        <v>10</v>
      </c>
      <c r="E31" s="7"/>
      <c r="F31" s="7"/>
      <c r="G31" s="7"/>
      <c r="H31" s="7">
        <v>-1625</v>
      </c>
      <c r="I31" s="7">
        <v>-1367</v>
      </c>
      <c r="J31" s="7">
        <v>-1390</v>
      </c>
      <c r="K31" s="7">
        <v>-1562</v>
      </c>
      <c r="L31" s="7">
        <v>-2298</v>
      </c>
      <c r="M31" s="7">
        <v>-3091</v>
      </c>
      <c r="N31" s="7">
        <v>-3860</v>
      </c>
    </row>
    <row r="32" spans="2:19">
      <c r="B32" s="1" t="s">
        <v>11</v>
      </c>
      <c r="E32" s="7"/>
      <c r="F32" s="7"/>
      <c r="G32" s="7"/>
      <c r="H32" s="7">
        <v>0</v>
      </c>
      <c r="I32" s="7">
        <v>0</v>
      </c>
      <c r="J32" s="26">
        <v>0</v>
      </c>
      <c r="K32" s="7">
        <v>0</v>
      </c>
      <c r="L32" s="7">
        <v>0</v>
      </c>
      <c r="M32" s="7">
        <v>0</v>
      </c>
      <c r="N32" s="7">
        <v>0</v>
      </c>
    </row>
    <row r="33" spans="2:14">
      <c r="B33" s="1" t="s">
        <v>12</v>
      </c>
      <c r="E33" s="7"/>
      <c r="F33" s="7"/>
      <c r="G33" s="7"/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</row>
    <row r="34" spans="2:14" ht="17" thickBot="1">
      <c r="B34" s="54" t="s">
        <v>29</v>
      </c>
      <c r="C34" s="55"/>
      <c r="D34" s="55"/>
      <c r="E34" s="56">
        <f>SUM(E30:E33)</f>
        <v>0</v>
      </c>
      <c r="F34" s="56">
        <f t="shared" ref="F34:N34" si="5">SUM(F30:F33)</f>
        <v>0</v>
      </c>
      <c r="G34" s="56">
        <f t="shared" si="5"/>
        <v>0</v>
      </c>
      <c r="H34" s="56">
        <f t="shared" si="5"/>
        <v>-1625</v>
      </c>
      <c r="I34" s="56">
        <f t="shared" si="5"/>
        <v>-1367</v>
      </c>
      <c r="J34" s="56">
        <f t="shared" si="5"/>
        <v>-1390</v>
      </c>
      <c r="K34" s="56">
        <f t="shared" si="5"/>
        <v>-1562</v>
      </c>
      <c r="L34" s="56">
        <f t="shared" si="5"/>
        <v>-2298</v>
      </c>
      <c r="M34" s="56">
        <f t="shared" si="5"/>
        <v>-3091</v>
      </c>
      <c r="N34" s="56">
        <f t="shared" si="5"/>
        <v>-3860</v>
      </c>
    </row>
    <row r="35" spans="2:14" ht="17" thickTop="1"/>
    <row r="36" spans="2:14" ht="17" thickBot="1">
      <c r="B36" s="54" t="s">
        <v>13</v>
      </c>
      <c r="C36" s="55"/>
      <c r="D36" s="55"/>
      <c r="E36" s="56">
        <f t="shared" ref="E36:N36" si="6">E26+E34</f>
        <v>0</v>
      </c>
      <c r="F36" s="56">
        <f t="shared" si="6"/>
        <v>0</v>
      </c>
      <c r="G36" s="56">
        <f t="shared" si="6"/>
        <v>0</v>
      </c>
      <c r="H36" s="56">
        <f t="shared" si="6"/>
        <v>15253</v>
      </c>
      <c r="I36" s="56">
        <f t="shared" si="6"/>
        <v>15542</v>
      </c>
      <c r="J36" s="56">
        <f t="shared" si="6"/>
        <v>25287</v>
      </c>
      <c r="K36" s="56">
        <f t="shared" si="6"/>
        <v>23511</v>
      </c>
      <c r="L36" s="56">
        <f t="shared" si="6"/>
        <v>23804</v>
      </c>
      <c r="M36" s="56">
        <f t="shared" si="6"/>
        <v>24828</v>
      </c>
      <c r="N36" s="56">
        <f t="shared" si="6"/>
        <v>20796.940000000002</v>
      </c>
    </row>
    <row r="37" spans="2:14" ht="17" thickTop="1"/>
    <row r="38" spans="2:14">
      <c r="B38" s="2" t="s">
        <v>14</v>
      </c>
      <c r="E38" s="7"/>
      <c r="F38" s="7"/>
      <c r="G38" s="7"/>
      <c r="H38" s="7">
        <v>-2262</v>
      </c>
      <c r="I38" s="7">
        <v>-2831</v>
      </c>
      <c r="J38" s="7">
        <v>-4917</v>
      </c>
      <c r="K38" s="7">
        <v>-4210</v>
      </c>
      <c r="L38" s="7">
        <v>-5306</v>
      </c>
      <c r="M38" s="7">
        <v>-5366</v>
      </c>
      <c r="N38" s="7">
        <v>-4160</v>
      </c>
    </row>
    <row r="40" spans="2:14" ht="17" thickBot="1">
      <c r="B40" s="55" t="s">
        <v>15</v>
      </c>
      <c r="C40" s="55"/>
      <c r="D40" s="55"/>
      <c r="E40" s="56">
        <f>E36+E38</f>
        <v>0</v>
      </c>
      <c r="F40" s="56">
        <f t="shared" ref="F40:N40" si="7">F36+F38</f>
        <v>0</v>
      </c>
      <c r="G40" s="56">
        <f t="shared" si="7"/>
        <v>0</v>
      </c>
      <c r="H40" s="56">
        <f t="shared" si="7"/>
        <v>12991</v>
      </c>
      <c r="I40" s="56">
        <f t="shared" si="7"/>
        <v>12711</v>
      </c>
      <c r="J40" s="56">
        <f t="shared" si="7"/>
        <v>20370</v>
      </c>
      <c r="K40" s="56">
        <f t="shared" si="7"/>
        <v>19301</v>
      </c>
      <c r="L40" s="56">
        <f t="shared" si="7"/>
        <v>18498</v>
      </c>
      <c r="M40" s="56">
        <f t="shared" si="7"/>
        <v>19462</v>
      </c>
      <c r="N40" s="56">
        <f t="shared" si="7"/>
        <v>16636.940000000002</v>
      </c>
    </row>
    <row r="41" spans="2:14" ht="17" thickTop="1"/>
    <row r="42" spans="2:14">
      <c r="B42" s="2" t="s">
        <v>16</v>
      </c>
    </row>
    <row r="43" spans="2:14">
      <c r="B43" s="3" t="s">
        <v>17</v>
      </c>
      <c r="E43" s="7"/>
      <c r="F43" s="7"/>
      <c r="G43" s="7"/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</row>
    <row r="44" spans="2:14">
      <c r="B44" s="3" t="s">
        <v>18</v>
      </c>
      <c r="E44" s="7"/>
      <c r="F44" s="7"/>
      <c r="G44" s="7"/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</row>
    <row r="46" spans="2:14" ht="17" thickBot="1">
      <c r="B46" s="55" t="s">
        <v>19</v>
      </c>
      <c r="C46" s="55"/>
      <c r="D46" s="55"/>
      <c r="E46" s="56">
        <f>E40+E43+E44</f>
        <v>0</v>
      </c>
      <c r="F46" s="56">
        <f t="shared" ref="F46:N46" si="8">F40+F43+F44</f>
        <v>0</v>
      </c>
      <c r="G46" s="56">
        <f t="shared" si="8"/>
        <v>0</v>
      </c>
      <c r="H46" s="56">
        <f t="shared" si="8"/>
        <v>12991</v>
      </c>
      <c r="I46" s="56">
        <f t="shared" si="8"/>
        <v>12711</v>
      </c>
      <c r="J46" s="56">
        <f t="shared" si="8"/>
        <v>20370</v>
      </c>
      <c r="K46" s="56">
        <f t="shared" si="8"/>
        <v>19301</v>
      </c>
      <c r="L46" s="56">
        <f t="shared" si="8"/>
        <v>18498</v>
      </c>
      <c r="M46" s="56">
        <f t="shared" si="8"/>
        <v>19462</v>
      </c>
      <c r="N46" s="56">
        <f t="shared" si="8"/>
        <v>16636.940000000002</v>
      </c>
    </row>
    <row r="47" spans="2:14" ht="17" thickTop="1">
      <c r="B47" s="2"/>
      <c r="E47" s="9"/>
      <c r="F47" s="9"/>
      <c r="G47" s="9"/>
      <c r="H47" s="9"/>
      <c r="I47" s="9"/>
      <c r="J47" s="9"/>
      <c r="K47" s="9"/>
      <c r="L47" s="9"/>
      <c r="M47" s="9"/>
      <c r="N47" s="9"/>
    </row>
    <row r="48" spans="2:14">
      <c r="B48" s="10" t="s">
        <v>20</v>
      </c>
      <c r="E48" s="7"/>
      <c r="F48" s="7"/>
      <c r="G48" s="7"/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</row>
    <row r="50" spans="2:14" ht="17" thickBot="1">
      <c r="B50" s="55" t="s">
        <v>30</v>
      </c>
      <c r="C50" s="55"/>
      <c r="D50" s="55"/>
      <c r="E50" s="56">
        <f>E46-E48</f>
        <v>0</v>
      </c>
      <c r="F50" s="56">
        <f t="shared" ref="F50:N50" si="9">F46-F48</f>
        <v>0</v>
      </c>
      <c r="G50" s="56">
        <f t="shared" si="9"/>
        <v>0</v>
      </c>
      <c r="H50" s="56">
        <f t="shared" si="9"/>
        <v>12991</v>
      </c>
      <c r="I50" s="56">
        <f t="shared" si="9"/>
        <v>12711</v>
      </c>
      <c r="J50" s="56">
        <f t="shared" si="9"/>
        <v>20370</v>
      </c>
      <c r="K50" s="56">
        <f t="shared" si="9"/>
        <v>19301</v>
      </c>
      <c r="L50" s="56">
        <f t="shared" si="9"/>
        <v>18498</v>
      </c>
      <c r="M50" s="56">
        <f t="shared" si="9"/>
        <v>19462</v>
      </c>
      <c r="N50" s="56">
        <f t="shared" si="9"/>
        <v>16636.940000000002</v>
      </c>
    </row>
    <row r="51" spans="2:14" ht="17" thickTop="1"/>
    <row r="52" spans="2:14">
      <c r="B52" s="10" t="s">
        <v>31</v>
      </c>
    </row>
    <row r="53" spans="2:14">
      <c r="B53" s="1" t="s">
        <v>32</v>
      </c>
      <c r="E53" s="78"/>
      <c r="F53" s="78"/>
      <c r="G53" s="78"/>
      <c r="H53" s="78"/>
      <c r="I53" s="78"/>
      <c r="J53" s="78"/>
      <c r="K53" s="78">
        <f>158.16*1000</f>
        <v>158160</v>
      </c>
      <c r="L53" s="78">
        <f>158.54*1000</f>
        <v>158540</v>
      </c>
      <c r="M53" s="78">
        <f>159.18*1000</f>
        <v>159180</v>
      </c>
      <c r="N53" s="78">
        <f>159.27*1000</f>
        <v>159270</v>
      </c>
    </row>
    <row r="54" spans="2:14">
      <c r="B54" s="1" t="s">
        <v>33</v>
      </c>
      <c r="E54" s="78"/>
      <c r="F54" s="78"/>
      <c r="G54" s="78"/>
      <c r="H54" s="78"/>
      <c r="I54" s="78"/>
      <c r="J54" s="78"/>
      <c r="K54" s="78">
        <f>159.82*1000</f>
        <v>159820</v>
      </c>
      <c r="L54" s="78">
        <f>160.33*1000</f>
        <v>160330</v>
      </c>
      <c r="M54" s="78">
        <f>159.52*1000</f>
        <v>159520</v>
      </c>
      <c r="N54" s="78">
        <f>159.27*1000</f>
        <v>159270</v>
      </c>
    </row>
    <row r="56" spans="2:14">
      <c r="B56" s="10" t="s">
        <v>34</v>
      </c>
    </row>
    <row r="57" spans="2:14">
      <c r="B57" s="1" t="s">
        <v>35</v>
      </c>
      <c r="E57" s="9" t="str">
        <f>IFERROR(E50/E53,"N/A")</f>
        <v>N/A</v>
      </c>
      <c r="F57" s="9" t="str">
        <f t="shared" ref="F57:N57" si="10">IFERROR(F50/F53,"N/A")</f>
        <v>N/A</v>
      </c>
      <c r="G57" s="9" t="str">
        <f t="shared" si="10"/>
        <v>N/A</v>
      </c>
      <c r="H57" s="9" t="str">
        <f t="shared" si="10"/>
        <v>N/A</v>
      </c>
      <c r="I57" s="9" t="str">
        <f t="shared" si="10"/>
        <v>N/A</v>
      </c>
      <c r="J57" s="9" t="str">
        <f t="shared" si="10"/>
        <v>N/A</v>
      </c>
      <c r="K57" s="9">
        <f t="shared" si="10"/>
        <v>0.12203464845725848</v>
      </c>
      <c r="L57" s="9">
        <f t="shared" si="10"/>
        <v>0.11667717926075438</v>
      </c>
      <c r="M57" s="9">
        <f t="shared" si="10"/>
        <v>0.12226410353059429</v>
      </c>
      <c r="N57" s="9">
        <f t="shared" si="10"/>
        <v>0.10445746217115591</v>
      </c>
    </row>
    <row r="58" spans="2:14">
      <c r="B58" s="1" t="s">
        <v>36</v>
      </c>
      <c r="E58" s="9" t="str">
        <f>IFERROR(E50/E54,"N/A")</f>
        <v>N/A</v>
      </c>
      <c r="F58" s="9" t="str">
        <f t="shared" ref="F58:N58" si="11">IFERROR(F50/F54,"N/A")</f>
        <v>N/A</v>
      </c>
      <c r="G58" s="9" t="str">
        <f t="shared" si="11"/>
        <v>N/A</v>
      </c>
      <c r="H58" s="9" t="str">
        <f t="shared" si="11"/>
        <v>N/A</v>
      </c>
      <c r="I58" s="9" t="str">
        <f t="shared" si="11"/>
        <v>N/A</v>
      </c>
      <c r="J58" s="13" t="str">
        <f t="shared" si="11"/>
        <v>N/A</v>
      </c>
      <c r="K58" s="9">
        <f t="shared" si="11"/>
        <v>0.12076711300212739</v>
      </c>
      <c r="L58" s="9">
        <f t="shared" si="11"/>
        <v>0.11537454001122685</v>
      </c>
      <c r="M58" s="9">
        <f t="shared" si="11"/>
        <v>0.12200351053159478</v>
      </c>
      <c r="N58" s="9">
        <f t="shared" si="11"/>
        <v>0.10445746217115591</v>
      </c>
    </row>
    <row r="61" spans="2:14">
      <c r="B61" s="12" t="s">
        <v>37</v>
      </c>
      <c r="C61" s="12"/>
      <c r="D61" s="12"/>
      <c r="E61" s="12">
        <f t="shared" ref="E61:I61" si="12">F61-1</f>
        <v>2016</v>
      </c>
      <c r="F61" s="12">
        <f t="shared" si="12"/>
        <v>2017</v>
      </c>
      <c r="G61" s="12">
        <f t="shared" si="12"/>
        <v>2018</v>
      </c>
      <c r="H61" s="12">
        <f t="shared" si="12"/>
        <v>2019</v>
      </c>
      <c r="I61" s="12">
        <f t="shared" si="12"/>
        <v>2020</v>
      </c>
      <c r="J61" s="12">
        <f>K61-1</f>
        <v>2021</v>
      </c>
      <c r="K61" s="12">
        <f>L61-1</f>
        <v>2022</v>
      </c>
      <c r="L61" s="12">
        <f>M61-1</f>
        <v>2023</v>
      </c>
      <c r="M61" s="12">
        <f>N61-1</f>
        <v>2024</v>
      </c>
      <c r="N61" s="12">
        <f>C6</f>
        <v>2025</v>
      </c>
    </row>
    <row r="62" spans="2:14">
      <c r="B62" s="14" t="s">
        <v>45</v>
      </c>
    </row>
    <row r="63" spans="2:14">
      <c r="B63" s="10" t="s">
        <v>19</v>
      </c>
      <c r="E63" s="9">
        <f>E46</f>
        <v>0</v>
      </c>
      <c r="F63" s="9">
        <f t="shared" ref="F63:N63" si="13">F46</f>
        <v>0</v>
      </c>
      <c r="G63" s="9">
        <f t="shared" si="13"/>
        <v>0</v>
      </c>
      <c r="H63" s="9">
        <f t="shared" si="13"/>
        <v>12991</v>
      </c>
      <c r="I63" s="9">
        <f t="shared" si="13"/>
        <v>12711</v>
      </c>
      <c r="J63" s="9">
        <f t="shared" si="13"/>
        <v>20370</v>
      </c>
      <c r="K63" s="9">
        <f t="shared" si="13"/>
        <v>19301</v>
      </c>
      <c r="L63" s="9">
        <f t="shared" si="13"/>
        <v>18498</v>
      </c>
      <c r="M63" s="9">
        <f t="shared" si="13"/>
        <v>19462</v>
      </c>
      <c r="N63" s="9">
        <f t="shared" si="13"/>
        <v>16636.940000000002</v>
      </c>
    </row>
    <row r="64" spans="2:14">
      <c r="B64" s="1" t="s">
        <v>38</v>
      </c>
      <c r="E64" s="9">
        <f t="shared" ref="E64:N64" si="14">-(SUM(E20:E22))</f>
        <v>0</v>
      </c>
      <c r="F64" s="9">
        <f t="shared" si="14"/>
        <v>0</v>
      </c>
      <c r="G64" s="9">
        <f t="shared" si="14"/>
        <v>0</v>
      </c>
      <c r="H64" s="9">
        <f t="shared" si="14"/>
        <v>7821</v>
      </c>
      <c r="I64" s="9">
        <f t="shared" si="14"/>
        <v>8459</v>
      </c>
      <c r="J64" s="9">
        <f t="shared" si="14"/>
        <v>8374</v>
      </c>
      <c r="K64" s="9">
        <f t="shared" si="14"/>
        <v>9040</v>
      </c>
      <c r="L64" s="9">
        <f t="shared" si="14"/>
        <v>9574</v>
      </c>
      <c r="M64" s="9">
        <f t="shared" si="14"/>
        <v>10757</v>
      </c>
      <c r="N64" s="9">
        <f t="shared" si="14"/>
        <v>11821</v>
      </c>
    </row>
    <row r="65" spans="2:14">
      <c r="B65" s="1" t="s">
        <v>39</v>
      </c>
      <c r="E65" s="7"/>
      <c r="F65" s="7"/>
      <c r="G65" s="7"/>
      <c r="H65" s="7"/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</row>
    <row r="66" spans="2:14">
      <c r="B66" s="1" t="s">
        <v>40</v>
      </c>
      <c r="E66" s="7"/>
      <c r="F66" s="7"/>
      <c r="G66" s="7"/>
      <c r="H66" s="7">
        <v>5</v>
      </c>
      <c r="I66" s="7">
        <v>30</v>
      </c>
      <c r="J66" s="7">
        <f>43+232</f>
        <v>275</v>
      </c>
      <c r="K66" s="7">
        <f>71+87</f>
        <v>158</v>
      </c>
      <c r="L66" s="7">
        <v>-3</v>
      </c>
      <c r="M66" s="7">
        <v>39</v>
      </c>
      <c r="N66" s="7">
        <v>0</v>
      </c>
    </row>
    <row r="67" spans="2:14" hidden="1">
      <c r="B67" s="1" t="s">
        <v>42</v>
      </c>
      <c r="E67" s="7"/>
      <c r="F67" s="7"/>
      <c r="G67" s="7"/>
      <c r="H67" s="7">
        <v>75</v>
      </c>
      <c r="I67" s="7">
        <v>75</v>
      </c>
      <c r="J67" s="7">
        <v>685</v>
      </c>
      <c r="K67" s="7">
        <v>607</v>
      </c>
      <c r="L67" s="7">
        <v>586</v>
      </c>
      <c r="M67" s="7">
        <v>-270</v>
      </c>
      <c r="N67" s="7">
        <v>-340</v>
      </c>
    </row>
    <row r="68" spans="2:14" hidden="1">
      <c r="B68" s="1" t="s">
        <v>41</v>
      </c>
      <c r="E68" s="7"/>
      <c r="F68" s="7"/>
      <c r="G68" s="7"/>
      <c r="H68" s="7"/>
      <c r="I68" s="7"/>
      <c r="J68" s="7">
        <v>0</v>
      </c>
      <c r="K68" s="7">
        <v>0</v>
      </c>
      <c r="L68" s="7">
        <v>0</v>
      </c>
      <c r="M68" s="7">
        <v>0</v>
      </c>
      <c r="N68" s="7">
        <v>0</v>
      </c>
    </row>
    <row r="69" spans="2:14">
      <c r="B69" s="1" t="s">
        <v>97</v>
      </c>
      <c r="E69" s="7"/>
      <c r="F69" s="7"/>
      <c r="G69" s="7"/>
      <c r="H69" s="7"/>
      <c r="I69" s="7"/>
      <c r="J69" s="7"/>
      <c r="K69" s="7"/>
      <c r="L69" s="7"/>
      <c r="M69" s="7"/>
      <c r="N69" s="7"/>
    </row>
    <row r="70" spans="2:14">
      <c r="B70" s="1" t="s">
        <v>121</v>
      </c>
      <c r="E70" s="7"/>
      <c r="F70" s="7"/>
      <c r="G70" s="7"/>
      <c r="H70" s="7">
        <v>-2994</v>
      </c>
      <c r="I70" s="7">
        <v>-2981</v>
      </c>
      <c r="J70" s="7">
        <v>-1533</v>
      </c>
      <c r="K70" s="7">
        <v>-1838</v>
      </c>
      <c r="L70" s="7"/>
      <c r="M70" s="7">
        <v>-1492</v>
      </c>
      <c r="N70" s="7">
        <v>0</v>
      </c>
    </row>
    <row r="72" spans="2:14">
      <c r="B72" s="10" t="s">
        <v>52</v>
      </c>
      <c r="E72" s="9">
        <f t="shared" ref="E72:K72" si="15">SUM(E63:E71)</f>
        <v>0</v>
      </c>
      <c r="F72" s="9">
        <f t="shared" si="15"/>
        <v>0</v>
      </c>
      <c r="G72" s="9">
        <f t="shared" si="15"/>
        <v>0</v>
      </c>
      <c r="H72" s="9">
        <f t="shared" si="15"/>
        <v>17898</v>
      </c>
      <c r="I72" s="9">
        <f t="shared" si="15"/>
        <v>18294</v>
      </c>
      <c r="J72" s="9">
        <f t="shared" si="15"/>
        <v>28171</v>
      </c>
      <c r="K72" s="9">
        <f t="shared" si="15"/>
        <v>27268</v>
      </c>
      <c r="L72" s="9">
        <f>SUM(L63:L71)</f>
        <v>28655</v>
      </c>
      <c r="M72" s="9">
        <f>SUM(M63:M71)</f>
        <v>28496</v>
      </c>
      <c r="N72" s="9">
        <f>SUM(N63:N71)</f>
        <v>28117.940000000002</v>
      </c>
    </row>
    <row r="74" spans="2:14">
      <c r="B74" s="8" t="s">
        <v>44</v>
      </c>
      <c r="E74" s="9">
        <f t="shared" ref="E74:N74" si="16">E94-D94+D92-E92+D93-E93+D95-E95+E114-D114+E116-D116+E115-D115+E118-D118</f>
        <v>0</v>
      </c>
      <c r="F74" s="9">
        <f t="shared" si="16"/>
        <v>0</v>
      </c>
      <c r="G74" s="9">
        <f t="shared" si="16"/>
        <v>0</v>
      </c>
      <c r="H74" s="9">
        <f t="shared" si="16"/>
        <v>-24444</v>
      </c>
      <c r="I74" s="9">
        <f t="shared" si="16"/>
        <v>1648</v>
      </c>
      <c r="J74" s="9">
        <f t="shared" si="16"/>
        <v>-1434</v>
      </c>
      <c r="K74" s="9">
        <f t="shared" si="16"/>
        <v>-10174</v>
      </c>
      <c r="L74" s="9">
        <f t="shared" si="16"/>
        <v>4989</v>
      </c>
      <c r="M74" s="9">
        <f t="shared" si="16"/>
        <v>-1665</v>
      </c>
      <c r="N74" s="9">
        <f t="shared" si="16"/>
        <v>-1202</v>
      </c>
    </row>
    <row r="76" spans="2:14" ht="17" thickBot="1">
      <c r="B76" s="54" t="s">
        <v>51</v>
      </c>
      <c r="C76" s="55"/>
      <c r="D76" s="55"/>
      <c r="E76" s="56">
        <f t="shared" ref="E76:M76" si="17">E72+E74</f>
        <v>0</v>
      </c>
      <c r="F76" s="56">
        <f t="shared" si="17"/>
        <v>0</v>
      </c>
      <c r="G76" s="56">
        <f t="shared" si="17"/>
        <v>0</v>
      </c>
      <c r="H76" s="56">
        <f t="shared" si="17"/>
        <v>-6546</v>
      </c>
      <c r="I76" s="56">
        <f t="shared" si="17"/>
        <v>19942</v>
      </c>
      <c r="J76" s="56">
        <f t="shared" si="17"/>
        <v>26737</v>
      </c>
      <c r="K76" s="56">
        <f t="shared" si="17"/>
        <v>17094</v>
      </c>
      <c r="L76" s="56">
        <f t="shared" si="17"/>
        <v>33644</v>
      </c>
      <c r="M76" s="56">
        <f t="shared" si="17"/>
        <v>26831</v>
      </c>
      <c r="N76" s="56">
        <f>N72+N74</f>
        <v>26915.940000000002</v>
      </c>
    </row>
    <row r="77" spans="2:14" ht="17" thickTop="1"/>
    <row r="78" spans="2:14">
      <c r="B78" s="14" t="s">
        <v>46</v>
      </c>
    </row>
    <row r="79" spans="2:14">
      <c r="B79" s="1" t="s">
        <v>48</v>
      </c>
      <c r="E79" s="7"/>
      <c r="F79" s="7"/>
      <c r="G79" s="7"/>
      <c r="H79" s="7">
        <v>-2648</v>
      </c>
      <c r="I79" s="7">
        <v>-804</v>
      </c>
      <c r="J79" s="7">
        <v>-2132</v>
      </c>
      <c r="K79" s="7">
        <v>-3285</v>
      </c>
      <c r="L79" s="7">
        <v>-2175</v>
      </c>
      <c r="M79" s="7">
        <v>-2925</v>
      </c>
      <c r="N79" s="7">
        <v>-2839</v>
      </c>
    </row>
    <row r="80" spans="2:14">
      <c r="B80" s="1" t="s">
        <v>49</v>
      </c>
      <c r="E80" s="7"/>
      <c r="F80" s="7"/>
      <c r="G80" s="7"/>
      <c r="H80" s="7">
        <v>185</v>
      </c>
      <c r="I80" s="7">
        <v>102</v>
      </c>
      <c r="J80" s="7">
        <f>5212+199</f>
        <v>5411</v>
      </c>
      <c r="K80" s="7">
        <f>166+181</f>
        <v>347</v>
      </c>
      <c r="L80" s="7">
        <v>90</v>
      </c>
      <c r="M80" s="7">
        <v>45</v>
      </c>
      <c r="N80" s="7">
        <v>15</v>
      </c>
    </row>
    <row r="81" spans="2:14">
      <c r="B81" s="1" t="s">
        <v>50</v>
      </c>
      <c r="E81" s="7"/>
      <c r="F81" s="7"/>
      <c r="G81" s="7"/>
      <c r="H81" s="7">
        <v>0</v>
      </c>
      <c r="I81" s="7">
        <v>0</v>
      </c>
      <c r="J81" s="7" t="s">
        <v>97</v>
      </c>
      <c r="K81" s="7">
        <v>0</v>
      </c>
      <c r="L81" s="7">
        <v>0</v>
      </c>
      <c r="M81" s="7">
        <v>0</v>
      </c>
      <c r="N81" s="7" t="s">
        <v>97</v>
      </c>
    </row>
    <row r="82" spans="2:14">
      <c r="B82" s="1" t="s">
        <v>47</v>
      </c>
      <c r="E82" s="7"/>
      <c r="F82" s="7"/>
      <c r="G82" s="7"/>
      <c r="H82" s="7">
        <v>-6162</v>
      </c>
      <c r="I82" s="7">
        <v>-2661</v>
      </c>
      <c r="J82" s="7">
        <v>-12238</v>
      </c>
      <c r="K82" s="7">
        <v>-8655</v>
      </c>
      <c r="L82" s="7">
        <v>-14466</v>
      </c>
      <c r="M82" s="7">
        <v>-10600</v>
      </c>
      <c r="N82" s="7">
        <v>-17670</v>
      </c>
    </row>
    <row r="83" spans="2:14">
      <c r="E83" s="9"/>
      <c r="F83" s="9"/>
      <c r="G83" s="9"/>
      <c r="H83" s="9"/>
      <c r="I83" s="9"/>
      <c r="J83" s="9"/>
      <c r="K83" s="9"/>
      <c r="L83" s="9"/>
      <c r="M83" s="9"/>
      <c r="N83" s="9"/>
    </row>
    <row r="84" spans="2:14" ht="17" thickBot="1">
      <c r="B84" s="55" t="s">
        <v>53</v>
      </c>
      <c r="C84" s="55"/>
      <c r="D84" s="55"/>
      <c r="E84" s="56">
        <f t="shared" ref="E84:N84" si="18">SUM(E79:E82)</f>
        <v>0</v>
      </c>
      <c r="F84" s="56">
        <f t="shared" si="18"/>
        <v>0</v>
      </c>
      <c r="G84" s="56">
        <f t="shared" si="18"/>
        <v>0</v>
      </c>
      <c r="H84" s="56">
        <f t="shared" si="18"/>
        <v>-8625</v>
      </c>
      <c r="I84" s="56">
        <f t="shared" si="18"/>
        <v>-3363</v>
      </c>
      <c r="J84" s="56">
        <f t="shared" si="18"/>
        <v>-8959</v>
      </c>
      <c r="K84" s="56">
        <f t="shared" si="18"/>
        <v>-11593</v>
      </c>
      <c r="L84" s="56">
        <f t="shared" si="18"/>
        <v>-16551</v>
      </c>
      <c r="M84" s="56">
        <f t="shared" si="18"/>
        <v>-13480</v>
      </c>
      <c r="N84" s="56">
        <f t="shared" si="18"/>
        <v>-20494</v>
      </c>
    </row>
    <row r="85" spans="2:14" ht="17" thickTop="1"/>
    <row r="87" spans="2:14">
      <c r="B87" s="12" t="s">
        <v>54</v>
      </c>
      <c r="C87" s="12"/>
      <c r="D87" s="12"/>
      <c r="E87" s="12">
        <f t="shared" ref="E87:I87" si="19">F87-1</f>
        <v>2016</v>
      </c>
      <c r="F87" s="12">
        <f t="shared" si="19"/>
        <v>2017</v>
      </c>
      <c r="G87" s="12">
        <f t="shared" si="19"/>
        <v>2018</v>
      </c>
      <c r="H87" s="12">
        <f t="shared" si="19"/>
        <v>2019</v>
      </c>
      <c r="I87" s="12">
        <f t="shared" si="19"/>
        <v>2020</v>
      </c>
      <c r="J87" s="12">
        <f>K87-1</f>
        <v>2021</v>
      </c>
      <c r="K87" s="12">
        <f>L87-1</f>
        <v>2022</v>
      </c>
      <c r="L87" s="12">
        <f>M87-1</f>
        <v>2023</v>
      </c>
      <c r="M87" s="12">
        <f>N87-1</f>
        <v>2024</v>
      </c>
      <c r="N87" s="12">
        <f>C6</f>
        <v>2025</v>
      </c>
    </row>
    <row r="88" spans="2:14">
      <c r="B88" s="16" t="s">
        <v>71</v>
      </c>
      <c r="C88" s="15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2:14">
      <c r="B89" s="14" t="s">
        <v>55</v>
      </c>
    </row>
    <row r="90" spans="2:14">
      <c r="B90" s="1" t="s">
        <v>56</v>
      </c>
      <c r="E90" s="7"/>
      <c r="F90" s="7"/>
      <c r="G90" s="7"/>
      <c r="H90" s="7">
        <v>5579</v>
      </c>
      <c r="I90" s="7">
        <v>7228</v>
      </c>
      <c r="J90" s="7">
        <v>12315</v>
      </c>
      <c r="K90" s="7">
        <v>5706</v>
      </c>
      <c r="L90" s="7">
        <v>7691</v>
      </c>
      <c r="M90" s="7">
        <v>12928</v>
      </c>
      <c r="N90" s="7">
        <v>13528</v>
      </c>
    </row>
    <row r="91" spans="2:14">
      <c r="B91" s="1" t="s">
        <v>57</v>
      </c>
      <c r="E91" s="7"/>
      <c r="F91" s="7"/>
      <c r="G91" s="7"/>
      <c r="H91" s="7">
        <v>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/>
    </row>
    <row r="92" spans="2:14">
      <c r="B92" s="1" t="s">
        <v>58</v>
      </c>
      <c r="E92" s="7"/>
      <c r="F92" s="7"/>
      <c r="G92" s="7"/>
      <c r="H92" s="7">
        <v>52044</v>
      </c>
      <c r="I92" s="7">
        <v>51371</v>
      </c>
      <c r="J92" s="7">
        <v>58541</v>
      </c>
      <c r="K92" s="7">
        <v>59347</v>
      </c>
      <c r="L92" s="7">
        <v>53792</v>
      </c>
      <c r="M92" s="7">
        <v>55015</v>
      </c>
      <c r="N92" s="7">
        <v>58969</v>
      </c>
    </row>
    <row r="93" spans="2:14">
      <c r="B93" s="1" t="s">
        <v>43</v>
      </c>
      <c r="E93" s="7"/>
      <c r="F93" s="7"/>
      <c r="G93" s="7"/>
      <c r="H93" s="7">
        <v>15813</v>
      </c>
      <c r="I93" s="7">
        <v>15858</v>
      </c>
      <c r="J93" s="7">
        <v>21269</v>
      </c>
      <c r="K93" s="7">
        <v>22608</v>
      </c>
      <c r="L93" s="7">
        <v>17523</v>
      </c>
      <c r="M93" s="7">
        <v>19049</v>
      </c>
      <c r="N93" s="7">
        <v>22041</v>
      </c>
    </row>
    <row r="94" spans="2:14">
      <c r="B94" s="1" t="s">
        <v>59</v>
      </c>
      <c r="E94" s="7"/>
      <c r="F94" s="7"/>
      <c r="G94" s="7"/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/>
    </row>
    <row r="95" spans="2:14">
      <c r="B95" s="1" t="s">
        <v>60</v>
      </c>
      <c r="E95" s="7"/>
      <c r="F95" s="7"/>
      <c r="G95" s="7"/>
      <c r="H95" s="7">
        <v>0</v>
      </c>
      <c r="I95" s="7">
        <v>0</v>
      </c>
      <c r="J95" s="7">
        <v>0</v>
      </c>
      <c r="K95" s="7">
        <v>675</v>
      </c>
      <c r="L95" s="7">
        <v>225</v>
      </c>
      <c r="M95" s="7">
        <v>469</v>
      </c>
      <c r="N95" s="7">
        <v>2091</v>
      </c>
    </row>
    <row r="97" spans="2:17" ht="17" thickBot="1">
      <c r="B97" s="54" t="s">
        <v>62</v>
      </c>
      <c r="C97" s="55"/>
      <c r="D97" s="55"/>
      <c r="E97" s="56">
        <f t="shared" ref="E97:N97" si="20">SUM(E90:E95)</f>
        <v>0</v>
      </c>
      <c r="F97" s="56">
        <f t="shared" si="20"/>
        <v>0</v>
      </c>
      <c r="G97" s="56">
        <f t="shared" si="20"/>
        <v>0</v>
      </c>
      <c r="H97" s="56">
        <f t="shared" si="20"/>
        <v>73436</v>
      </c>
      <c r="I97" s="56">
        <f t="shared" si="20"/>
        <v>74457</v>
      </c>
      <c r="J97" s="56">
        <f t="shared" si="20"/>
        <v>92125</v>
      </c>
      <c r="K97" s="56">
        <f t="shared" si="20"/>
        <v>88336</v>
      </c>
      <c r="L97" s="56">
        <f t="shared" si="20"/>
        <v>79231</v>
      </c>
      <c r="M97" s="56">
        <f t="shared" si="20"/>
        <v>87461</v>
      </c>
      <c r="N97" s="56">
        <f t="shared" si="20"/>
        <v>96629</v>
      </c>
    </row>
    <row r="98" spans="2:17" ht="17" thickTop="1"/>
    <row r="99" spans="2:17">
      <c r="B99" s="14" t="s">
        <v>63</v>
      </c>
    </row>
    <row r="100" spans="2:17">
      <c r="B100" s="1" t="s">
        <v>64</v>
      </c>
      <c r="E100" s="7"/>
      <c r="F100" s="7"/>
      <c r="G100" s="7"/>
      <c r="H100" s="7">
        <v>9621</v>
      </c>
      <c r="I100" s="7">
        <v>8640</v>
      </c>
      <c r="J100" s="7">
        <v>6101</v>
      </c>
      <c r="K100" s="7">
        <v>7863</v>
      </c>
      <c r="L100" s="7">
        <v>9210</v>
      </c>
      <c r="M100" s="7">
        <v>10607</v>
      </c>
      <c r="N100" s="7">
        <v>13321</v>
      </c>
    </row>
    <row r="101" spans="2:17">
      <c r="B101" s="1" t="s">
        <v>65</v>
      </c>
      <c r="E101" s="7"/>
      <c r="F101" s="7"/>
      <c r="G101" s="7"/>
      <c r="H101" s="7">
        <v>62663</v>
      </c>
      <c r="I101" s="7">
        <v>60598</v>
      </c>
      <c r="J101" s="7">
        <v>74902</v>
      </c>
      <c r="K101" s="7">
        <v>75685</v>
      </c>
      <c r="L101" s="7">
        <v>87495</v>
      </c>
      <c r="M101" s="7">
        <v>97970</v>
      </c>
      <c r="N101" s="7">
        <v>108623</v>
      </c>
    </row>
    <row r="102" spans="2:17">
      <c r="B102" s="1" t="s">
        <v>122</v>
      </c>
      <c r="E102" s="7"/>
      <c r="F102" s="7"/>
      <c r="G102" s="7"/>
      <c r="H102" s="7">
        <v>25885</v>
      </c>
      <c r="I102" s="7">
        <v>28584</v>
      </c>
      <c r="J102" s="7">
        <v>34718</v>
      </c>
      <c r="K102" s="7">
        <v>33938</v>
      </c>
      <c r="L102" s="7">
        <v>35001</v>
      </c>
      <c r="M102" s="7">
        <v>41077</v>
      </c>
      <c r="N102" s="7">
        <v>49511</v>
      </c>
    </row>
    <row r="103" spans="2:17">
      <c r="B103" s="1" t="s">
        <v>66</v>
      </c>
      <c r="E103" s="7"/>
      <c r="F103" s="7"/>
      <c r="G103" s="7"/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</row>
    <row r="104" spans="2:17">
      <c r="B104" s="1" t="s">
        <v>67</v>
      </c>
      <c r="E104" s="7"/>
      <c r="F104" s="7"/>
      <c r="G104" s="7"/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</row>
    <row r="105" spans="2:17">
      <c r="B105" s="1" t="s">
        <v>61</v>
      </c>
      <c r="E105" s="7"/>
      <c r="F105" s="7"/>
      <c r="G105" s="7"/>
      <c r="H105" s="7">
        <v>1224</v>
      </c>
      <c r="I105" s="7">
        <v>396</v>
      </c>
      <c r="J105" s="7">
        <v>19</v>
      </c>
      <c r="K105" s="7">
        <v>105</v>
      </c>
      <c r="L105" s="7">
        <v>335</v>
      </c>
      <c r="M105" s="7">
        <v>145</v>
      </c>
      <c r="N105" s="7">
        <v>321</v>
      </c>
    </row>
    <row r="106" spans="2:17">
      <c r="B106" s="1" t="s">
        <v>68</v>
      </c>
      <c r="E106" s="7"/>
      <c r="F106" s="7"/>
      <c r="G106" s="7"/>
      <c r="H106" s="7">
        <v>35</v>
      </c>
      <c r="I106" s="7">
        <v>35</v>
      </c>
      <c r="J106" s="7">
        <f>19+8267</f>
        <v>8286</v>
      </c>
      <c r="K106" s="7">
        <f>10199+105</f>
        <v>10304</v>
      </c>
      <c r="L106" s="7">
        <f>9921+35</f>
        <v>9956</v>
      </c>
      <c r="M106" s="7">
        <f>9636+35</f>
        <v>9671</v>
      </c>
      <c r="N106" s="7">
        <f>9217+34</f>
        <v>9251</v>
      </c>
    </row>
    <row r="107" spans="2:17">
      <c r="E107" s="9"/>
      <c r="F107" s="9"/>
      <c r="G107" s="9"/>
      <c r="H107" s="9"/>
      <c r="I107" s="9"/>
      <c r="J107" s="9"/>
      <c r="K107" s="9"/>
      <c r="L107" s="9"/>
      <c r="M107" s="9"/>
      <c r="N107" s="9"/>
    </row>
    <row r="108" spans="2:17" ht="17" thickBot="1">
      <c r="B108" s="55" t="s">
        <v>69</v>
      </c>
      <c r="C108" s="55"/>
      <c r="D108" s="55"/>
      <c r="E108" s="56">
        <f t="shared" ref="E108:N108" si="21">SUM(E100:E106)</f>
        <v>0</v>
      </c>
      <c r="F108" s="56">
        <f t="shared" si="21"/>
        <v>0</v>
      </c>
      <c r="G108" s="56">
        <f t="shared" si="21"/>
        <v>0</v>
      </c>
      <c r="H108" s="56">
        <f>SUM(H100:H106)</f>
        <v>99428</v>
      </c>
      <c r="I108" s="56">
        <f t="shared" si="21"/>
        <v>98253</v>
      </c>
      <c r="J108" s="56">
        <f t="shared" si="21"/>
        <v>124026</v>
      </c>
      <c r="K108" s="56">
        <f t="shared" si="21"/>
        <v>127895</v>
      </c>
      <c r="L108" s="56">
        <f t="shared" si="21"/>
        <v>141997</v>
      </c>
      <c r="M108" s="56">
        <f t="shared" si="21"/>
        <v>159470</v>
      </c>
      <c r="N108" s="56">
        <f t="shared" si="21"/>
        <v>181027</v>
      </c>
      <c r="Q108" s="9"/>
    </row>
    <row r="109" spans="2:17" ht="17" thickTop="1">
      <c r="Q109" s="9"/>
    </row>
    <row r="110" spans="2:17" ht="17" thickBot="1">
      <c r="B110" s="55" t="s">
        <v>70</v>
      </c>
      <c r="C110" s="55"/>
      <c r="D110" s="55"/>
      <c r="E110" s="56">
        <f t="shared" ref="E110:N110" si="22">E97+E108</f>
        <v>0</v>
      </c>
      <c r="F110" s="56">
        <f t="shared" si="22"/>
        <v>0</v>
      </c>
      <c r="G110" s="56">
        <f t="shared" si="22"/>
        <v>0</v>
      </c>
      <c r="H110" s="56">
        <f t="shared" si="22"/>
        <v>172864</v>
      </c>
      <c r="I110" s="56">
        <f t="shared" si="22"/>
        <v>172710</v>
      </c>
      <c r="J110" s="56">
        <f t="shared" si="22"/>
        <v>216151</v>
      </c>
      <c r="K110" s="56">
        <f t="shared" si="22"/>
        <v>216231</v>
      </c>
      <c r="L110" s="56">
        <f t="shared" si="22"/>
        <v>221228</v>
      </c>
      <c r="M110" s="56">
        <f t="shared" si="22"/>
        <v>246931</v>
      </c>
      <c r="N110" s="56">
        <f t="shared" si="22"/>
        <v>277656</v>
      </c>
      <c r="Q110" s="9"/>
    </row>
    <row r="111" spans="2:17" ht="17" thickTop="1"/>
    <row r="112" spans="2:17">
      <c r="B112" s="16" t="s">
        <v>72</v>
      </c>
      <c r="C112" s="15"/>
      <c r="D112" s="15"/>
      <c r="E112" s="15"/>
      <c r="F112" s="15"/>
      <c r="G112" s="15"/>
      <c r="H112" s="15"/>
      <c r="I112" s="15"/>
      <c r="J112" s="15"/>
      <c r="K112" s="15"/>
      <c r="L112" s="15"/>
      <c r="M112" s="15"/>
      <c r="N112" s="15"/>
    </row>
    <row r="113" spans="2:18">
      <c r="B113" s="14" t="s">
        <v>73</v>
      </c>
    </row>
    <row r="114" spans="2:18">
      <c r="B114" s="1" t="s">
        <v>74</v>
      </c>
      <c r="E114" s="7"/>
      <c r="F114" s="7"/>
      <c r="G114" s="7"/>
      <c r="H114" s="7">
        <f>48530-H115-H119</f>
        <v>36199</v>
      </c>
      <c r="I114" s="7">
        <f>47755-I115-I119</f>
        <v>35622</v>
      </c>
      <c r="J114" s="7">
        <f>60975-J115-J119</f>
        <v>42147</v>
      </c>
      <c r="K114" s="7">
        <f>54577-K115-K119</f>
        <v>36290</v>
      </c>
      <c r="L114" s="7">
        <f>50623-L115-L119</f>
        <v>30323</v>
      </c>
      <c r="M114" s="7">
        <f>50263-7977-M119</f>
        <v>34432</v>
      </c>
      <c r="N114" s="7">
        <f>57648-N115-N119</f>
        <v>41817</v>
      </c>
    </row>
    <row r="115" spans="2:18">
      <c r="B115" s="1" t="s">
        <v>75</v>
      </c>
      <c r="E115" s="7"/>
      <c r="F115" s="7"/>
      <c r="G115" s="7"/>
      <c r="H115" s="7">
        <v>6554</v>
      </c>
      <c r="I115" s="7">
        <v>6977</v>
      </c>
      <c r="J115" s="7">
        <f>11703</f>
        <v>11703</v>
      </c>
      <c r="K115" s="7">
        <v>10167</v>
      </c>
      <c r="L115" s="7">
        <v>11401</v>
      </c>
      <c r="M115" s="7">
        <v>7977</v>
      </c>
      <c r="N115" s="7">
        <v>7977</v>
      </c>
    </row>
    <row r="116" spans="2:18">
      <c r="B116" s="1" t="s">
        <v>79</v>
      </c>
      <c r="E116" s="7"/>
      <c r="F116" s="7"/>
      <c r="G116" s="7"/>
      <c r="H116" s="7">
        <v>660</v>
      </c>
      <c r="I116" s="7">
        <v>1834</v>
      </c>
      <c r="J116" s="7">
        <v>1730</v>
      </c>
      <c r="K116" s="7">
        <v>1769</v>
      </c>
      <c r="L116" s="7">
        <v>401</v>
      </c>
      <c r="M116" s="7">
        <v>1044</v>
      </c>
      <c r="N116" s="7">
        <v>1025</v>
      </c>
    </row>
    <row r="117" spans="2:18">
      <c r="B117" s="1" t="s">
        <v>76</v>
      </c>
      <c r="E117" s="7"/>
      <c r="F117" s="7"/>
      <c r="G117" s="7"/>
      <c r="H117" s="7">
        <v>1084</v>
      </c>
      <c r="I117" s="7">
        <v>1731</v>
      </c>
      <c r="J117" s="7">
        <v>771</v>
      </c>
      <c r="K117" s="7">
        <v>304</v>
      </c>
      <c r="L117" s="7">
        <v>983</v>
      </c>
      <c r="M117" s="7">
        <v>1035</v>
      </c>
      <c r="N117" s="7">
        <v>1291</v>
      </c>
    </row>
    <row r="118" spans="2:18">
      <c r="B118" s="1" t="s">
        <v>77</v>
      </c>
      <c r="E118" s="7"/>
      <c r="F118" s="7"/>
      <c r="G118" s="7"/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</row>
    <row r="119" spans="2:18">
      <c r="B119" s="1" t="s">
        <v>78</v>
      </c>
      <c r="E119" s="7"/>
      <c r="F119" s="7"/>
      <c r="G119" s="7"/>
      <c r="H119" s="7">
        <f>3662+1600+515</f>
        <v>5777</v>
      </c>
      <c r="I119" s="7">
        <f>4009+1147</f>
        <v>5156</v>
      </c>
      <c r="J119" s="7">
        <f>3905+2930+290</f>
        <v>7125</v>
      </c>
      <c r="K119" s="7">
        <f>3849+3695+576</f>
        <v>8120</v>
      </c>
      <c r="L119" s="7">
        <f>4472+3527+900</f>
        <v>8899</v>
      </c>
      <c r="M119" s="7">
        <f>3929+3212+713</f>
        <v>7854</v>
      </c>
      <c r="N119" s="7">
        <f>3929+3212+713</f>
        <v>7854</v>
      </c>
    </row>
    <row r="120" spans="2:18">
      <c r="B120" s="1" t="s">
        <v>80</v>
      </c>
      <c r="E120" s="7"/>
      <c r="F120" s="7"/>
      <c r="G120" s="7"/>
      <c r="H120" s="7">
        <v>18253</v>
      </c>
      <c r="I120" s="7">
        <v>7766</v>
      </c>
      <c r="J120" s="7">
        <v>9840</v>
      </c>
      <c r="K120" s="7">
        <v>9143</v>
      </c>
      <c r="L120" s="7">
        <v>7164</v>
      </c>
      <c r="M120" s="7">
        <v>14846</v>
      </c>
      <c r="N120" s="7">
        <v>28682</v>
      </c>
    </row>
    <row r="121" spans="2:18">
      <c r="B121" s="1" t="s">
        <v>81</v>
      </c>
      <c r="E121" s="7"/>
      <c r="F121" s="7"/>
      <c r="G121" s="7"/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/>
    </row>
    <row r="122" spans="2:18">
      <c r="B122" s="1" t="s">
        <v>84</v>
      </c>
      <c r="E122" s="7"/>
      <c r="F122" s="7"/>
      <c r="G122" s="7"/>
      <c r="H122" s="7">
        <v>6321</v>
      </c>
      <c r="I122" s="7">
        <v>5784</v>
      </c>
      <c r="J122" s="7">
        <v>6364</v>
      </c>
      <c r="K122" s="7">
        <v>6641</v>
      </c>
      <c r="L122" s="7">
        <v>7307</v>
      </c>
      <c r="M122" s="7">
        <v>7223</v>
      </c>
      <c r="N122" s="7">
        <v>8848</v>
      </c>
    </row>
    <row r="124" spans="2:18" ht="17" thickBot="1">
      <c r="B124" s="55" t="s">
        <v>82</v>
      </c>
      <c r="C124" s="55"/>
      <c r="D124" s="55"/>
      <c r="E124" s="56">
        <f>SUM(E114:E121)</f>
        <v>0</v>
      </c>
      <c r="F124" s="56">
        <f t="shared" ref="F124:G124" si="23">SUM(F114:F121)</f>
        <v>0</v>
      </c>
      <c r="G124" s="56">
        <f t="shared" si="23"/>
        <v>0</v>
      </c>
      <c r="H124" s="56">
        <f t="shared" ref="H124:N124" si="24">SUM(H114:H122)</f>
        <v>74848</v>
      </c>
      <c r="I124" s="56">
        <f t="shared" si="24"/>
        <v>64870</v>
      </c>
      <c r="J124" s="56">
        <f t="shared" si="24"/>
        <v>79680</v>
      </c>
      <c r="K124" s="56">
        <f t="shared" si="24"/>
        <v>72434</v>
      </c>
      <c r="L124" s="56">
        <f t="shared" si="24"/>
        <v>66478</v>
      </c>
      <c r="M124" s="56">
        <f t="shared" si="24"/>
        <v>74411</v>
      </c>
      <c r="N124" s="56">
        <f t="shared" si="24"/>
        <v>97494</v>
      </c>
    </row>
    <row r="125" spans="2:18" ht="17" thickTop="1">
      <c r="R125" s="9"/>
    </row>
    <row r="126" spans="2:18">
      <c r="B126" s="14" t="s">
        <v>83</v>
      </c>
      <c r="R126" s="9"/>
    </row>
    <row r="127" spans="2:18">
      <c r="B127" s="1" t="s">
        <v>85</v>
      </c>
      <c r="E127" s="7"/>
      <c r="F127" s="7"/>
      <c r="G127" s="7"/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</row>
    <row r="128" spans="2:18">
      <c r="B128" s="1" t="s">
        <v>84</v>
      </c>
      <c r="E128" s="7"/>
      <c r="F128" s="7"/>
      <c r="G128" s="7"/>
      <c r="H128" s="7">
        <v>19646</v>
      </c>
      <c r="I128" s="7">
        <v>22908</v>
      </c>
      <c r="J128" s="7">
        <v>28578</v>
      </c>
      <c r="K128" s="7">
        <v>27928</v>
      </c>
      <c r="L128" s="7">
        <v>28869</v>
      </c>
      <c r="M128" s="7">
        <v>35653</v>
      </c>
      <c r="N128" s="7">
        <v>42416</v>
      </c>
    </row>
    <row r="129" spans="2:17">
      <c r="B129" s="1" t="s">
        <v>86</v>
      </c>
      <c r="E129" s="7"/>
      <c r="F129" s="7"/>
      <c r="G129" s="7"/>
      <c r="H129" s="7">
        <v>3116</v>
      </c>
      <c r="I129" s="7">
        <v>3072</v>
      </c>
      <c r="J129" s="7">
        <v>7472</v>
      </c>
      <c r="K129" s="7">
        <v>8222</v>
      </c>
      <c r="L129" s="7">
        <v>9472</v>
      </c>
      <c r="M129" s="7">
        <v>10937</v>
      </c>
      <c r="N129" s="7">
        <v>12678</v>
      </c>
    </row>
    <row r="130" spans="2:17">
      <c r="B130" s="1" t="s">
        <v>87</v>
      </c>
      <c r="E130" s="7"/>
      <c r="F130" s="7"/>
      <c r="G130" s="7"/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P130" s="9"/>
    </row>
    <row r="131" spans="2:17">
      <c r="B131" s="1" t="s">
        <v>88</v>
      </c>
      <c r="E131" s="7"/>
      <c r="F131" s="7"/>
      <c r="G131" s="7"/>
      <c r="H131" s="7">
        <f>22+6465</f>
        <v>6487</v>
      </c>
      <c r="I131" s="7">
        <f>1471+592+19</f>
        <v>2082</v>
      </c>
      <c r="J131" s="7">
        <f>1848+3695</f>
        <v>5543</v>
      </c>
      <c r="K131" s="7">
        <v>1560</v>
      </c>
      <c r="L131" s="7">
        <f>504+1329</f>
        <v>1833</v>
      </c>
      <c r="M131" s="7">
        <f>327+2330</f>
        <v>2657</v>
      </c>
      <c r="N131" s="7">
        <f>479+2407</f>
        <v>2886</v>
      </c>
    </row>
    <row r="132" spans="2:17">
      <c r="E132" s="9"/>
      <c r="F132" s="9"/>
      <c r="G132" s="9"/>
      <c r="H132" s="9"/>
      <c r="I132" s="9"/>
      <c r="J132" s="9"/>
      <c r="K132" s="9"/>
      <c r="L132" s="9"/>
      <c r="M132" s="9"/>
      <c r="N132" s="9"/>
    </row>
    <row r="133" spans="2:17" ht="17" thickBot="1">
      <c r="B133" s="55" t="s">
        <v>89</v>
      </c>
      <c r="C133" s="55"/>
      <c r="D133" s="55"/>
      <c r="E133" s="56">
        <f>SUM(E127:E131)</f>
        <v>0</v>
      </c>
      <c r="F133" s="56">
        <f t="shared" ref="F133:N133" si="25">SUM(F127:F131)</f>
        <v>0</v>
      </c>
      <c r="G133" s="56">
        <f t="shared" si="25"/>
        <v>0</v>
      </c>
      <c r="H133" s="56">
        <f t="shared" si="25"/>
        <v>29249</v>
      </c>
      <c r="I133" s="56">
        <f t="shared" si="25"/>
        <v>28062</v>
      </c>
      <c r="J133" s="56">
        <f t="shared" si="25"/>
        <v>41593</v>
      </c>
      <c r="K133" s="56">
        <f t="shared" si="25"/>
        <v>37710</v>
      </c>
      <c r="L133" s="56">
        <f t="shared" si="25"/>
        <v>40174</v>
      </c>
      <c r="M133" s="56">
        <f t="shared" si="25"/>
        <v>49247</v>
      </c>
      <c r="N133" s="56">
        <f t="shared" si="25"/>
        <v>57980</v>
      </c>
    </row>
    <row r="134" spans="2:17" ht="17" thickTop="1"/>
    <row r="135" spans="2:17" ht="17" thickBot="1">
      <c r="B135" s="55" t="s">
        <v>90</v>
      </c>
      <c r="C135" s="55"/>
      <c r="D135" s="55"/>
      <c r="E135" s="56">
        <f>E124+E133</f>
        <v>0</v>
      </c>
      <c r="F135" s="56">
        <f t="shared" ref="F135:N135" si="26">F124+F133</f>
        <v>0</v>
      </c>
      <c r="G135" s="56">
        <f t="shared" si="26"/>
        <v>0</v>
      </c>
      <c r="H135" s="56">
        <f t="shared" si="26"/>
        <v>104097</v>
      </c>
      <c r="I135" s="56">
        <f t="shared" si="26"/>
        <v>92932</v>
      </c>
      <c r="J135" s="56">
        <f t="shared" si="26"/>
        <v>121273</v>
      </c>
      <c r="K135" s="56">
        <f t="shared" si="26"/>
        <v>110144</v>
      </c>
      <c r="L135" s="56">
        <f t="shared" si="26"/>
        <v>106652</v>
      </c>
      <c r="M135" s="56">
        <f t="shared" si="26"/>
        <v>123658</v>
      </c>
      <c r="N135" s="56">
        <f t="shared" si="26"/>
        <v>155474</v>
      </c>
    </row>
    <row r="136" spans="2:17" ht="17" thickTop="1"/>
    <row r="137" spans="2:17">
      <c r="B137" s="16" t="s">
        <v>91</v>
      </c>
      <c r="C137" s="15"/>
      <c r="D137" s="15"/>
      <c r="E137" s="15"/>
      <c r="F137" s="15"/>
      <c r="G137" s="15"/>
      <c r="H137" s="15"/>
      <c r="I137" s="15"/>
      <c r="J137" s="15"/>
      <c r="K137" s="15"/>
      <c r="L137" s="15"/>
      <c r="M137" s="15"/>
      <c r="N137" s="15"/>
    </row>
    <row r="139" spans="2:17">
      <c r="B139" s="10" t="s">
        <v>92</v>
      </c>
      <c r="E139" s="7"/>
      <c r="F139" s="7"/>
      <c r="G139" s="7"/>
      <c r="H139" s="7">
        <f>68737+30</f>
        <v>68767</v>
      </c>
      <c r="I139" s="7">
        <v>79778</v>
      </c>
      <c r="J139" s="7">
        <f>94894-16</f>
        <v>94878</v>
      </c>
      <c r="K139" s="7">
        <f>106020+67</f>
        <v>106087</v>
      </c>
      <c r="L139" s="7">
        <v>114576</v>
      </c>
      <c r="M139" s="7">
        <v>123273</v>
      </c>
      <c r="N139" s="7">
        <v>122182</v>
      </c>
    </row>
    <row r="140" spans="2:17">
      <c r="B140" s="1" t="s">
        <v>93</v>
      </c>
      <c r="E140" s="7"/>
      <c r="F140" s="7"/>
      <c r="G140" s="7"/>
      <c r="H140" s="7"/>
      <c r="I140" s="7"/>
      <c r="J140" s="7"/>
      <c r="K140" s="7"/>
      <c r="L140" s="7"/>
      <c r="M140" s="7"/>
      <c r="N140" s="7"/>
    </row>
    <row r="141" spans="2:17">
      <c r="E141" s="9"/>
      <c r="F141" s="9"/>
      <c r="G141" s="9"/>
      <c r="H141" s="9"/>
      <c r="I141" s="9"/>
      <c r="J141" s="9"/>
      <c r="K141" s="9"/>
      <c r="L141" s="9"/>
      <c r="M141" s="9"/>
      <c r="N141" s="9"/>
      <c r="Q141" s="9"/>
    </row>
    <row r="142" spans="2:17" ht="17" thickBot="1">
      <c r="B142" s="55" t="s">
        <v>94</v>
      </c>
      <c r="C142" s="55"/>
      <c r="D142" s="55"/>
      <c r="E142" s="56">
        <f>SUM(E139:E140)</f>
        <v>0</v>
      </c>
      <c r="F142" s="56">
        <f t="shared" ref="F142:N142" si="27">SUM(F139:F140)</f>
        <v>0</v>
      </c>
      <c r="G142" s="56">
        <f t="shared" si="27"/>
        <v>0</v>
      </c>
      <c r="H142" s="56">
        <f t="shared" si="27"/>
        <v>68767</v>
      </c>
      <c r="I142" s="56">
        <f t="shared" si="27"/>
        <v>79778</v>
      </c>
      <c r="J142" s="56">
        <f t="shared" si="27"/>
        <v>94878</v>
      </c>
      <c r="K142" s="56">
        <f t="shared" si="27"/>
        <v>106087</v>
      </c>
      <c r="L142" s="56">
        <f t="shared" si="27"/>
        <v>114576</v>
      </c>
      <c r="M142" s="56">
        <f t="shared" si="27"/>
        <v>123273</v>
      </c>
      <c r="N142" s="56">
        <f t="shared" si="27"/>
        <v>122182</v>
      </c>
    </row>
    <row r="143" spans="2:17" ht="17" thickTop="1"/>
    <row r="144" spans="2:17">
      <c r="B144" s="10" t="s">
        <v>95</v>
      </c>
      <c r="E144" t="str">
        <f>IF(E142+E135=E110,"OK!","FAIL")</f>
        <v>OK!</v>
      </c>
      <c r="F144" t="str">
        <f t="shared" ref="F144:N144" si="28">IF(F142+F135=F110,"OK!","FAIL")</f>
        <v>OK!</v>
      </c>
      <c r="G144" t="str">
        <f t="shared" si="28"/>
        <v>OK!</v>
      </c>
      <c r="H144" t="str">
        <f t="shared" si="28"/>
        <v>OK!</v>
      </c>
      <c r="I144" t="str">
        <f t="shared" si="28"/>
        <v>OK!</v>
      </c>
      <c r="J144" t="str">
        <f t="shared" si="28"/>
        <v>OK!</v>
      </c>
      <c r="K144" t="str">
        <f t="shared" si="28"/>
        <v>OK!</v>
      </c>
      <c r="L144" t="str">
        <f t="shared" si="28"/>
        <v>OK!</v>
      </c>
      <c r="M144" t="str">
        <f t="shared" si="28"/>
        <v>OK!</v>
      </c>
      <c r="N144" t="str">
        <f t="shared" si="28"/>
        <v>OK!</v>
      </c>
    </row>
    <row r="147" spans="2:14">
      <c r="B147" s="11" t="s">
        <v>128</v>
      </c>
      <c r="C147" s="11"/>
      <c r="D147" s="11"/>
      <c r="E147" s="11">
        <f t="shared" ref="E147:L147" si="29">F147-1</f>
        <v>2016</v>
      </c>
      <c r="F147" s="11">
        <f t="shared" si="29"/>
        <v>2017</v>
      </c>
      <c r="G147" s="11">
        <f t="shared" si="29"/>
        <v>2018</v>
      </c>
      <c r="H147" s="11">
        <f t="shared" si="29"/>
        <v>2019</v>
      </c>
      <c r="I147" s="11">
        <f t="shared" si="29"/>
        <v>2020</v>
      </c>
      <c r="J147" s="11">
        <f t="shared" si="29"/>
        <v>2021</v>
      </c>
      <c r="K147" s="11">
        <f t="shared" si="29"/>
        <v>2022</v>
      </c>
      <c r="L147" s="11">
        <f t="shared" si="29"/>
        <v>2023</v>
      </c>
      <c r="M147" s="11">
        <f>N147-1</f>
        <v>2024</v>
      </c>
      <c r="N147" s="11">
        <f>C6</f>
        <v>2025</v>
      </c>
    </row>
    <row r="148" spans="2:14">
      <c r="B148" s="34" t="s">
        <v>129</v>
      </c>
      <c r="C148" s="34"/>
      <c r="D148" s="35"/>
      <c r="E148" s="36"/>
      <c r="F148" s="37"/>
      <c r="G148" s="37"/>
      <c r="H148" s="37">
        <v>3623</v>
      </c>
      <c r="I148" s="37">
        <v>1868</v>
      </c>
      <c r="J148" s="37">
        <v>9103</v>
      </c>
      <c r="K148" s="37">
        <v>4547</v>
      </c>
      <c r="L148" s="37">
        <v>3021</v>
      </c>
      <c r="M148" s="37">
        <v>11208</v>
      </c>
      <c r="N148" s="37">
        <f>N102-M102</f>
        <v>8434</v>
      </c>
    </row>
    <row r="149" spans="2:14">
      <c r="B149" s="34" t="s">
        <v>132</v>
      </c>
      <c r="C149" s="34"/>
      <c r="D149" s="35"/>
      <c r="E149" s="36"/>
      <c r="F149" s="37"/>
      <c r="G149" s="37"/>
      <c r="H149" s="37">
        <v>979</v>
      </c>
      <c r="I149" s="37">
        <v>0</v>
      </c>
      <c r="J149" s="37">
        <v>3854</v>
      </c>
      <c r="K149" s="37">
        <v>1634</v>
      </c>
      <c r="L149" s="37">
        <v>1801</v>
      </c>
      <c r="M149" s="37">
        <v>1709</v>
      </c>
      <c r="N149" s="37"/>
    </row>
    <row r="150" spans="2:14">
      <c r="B150" s="34" t="s">
        <v>131</v>
      </c>
      <c r="C150" s="34"/>
      <c r="D150" s="35"/>
      <c r="E150" s="36"/>
      <c r="F150" s="37"/>
      <c r="G150" s="37"/>
      <c r="H150" s="37"/>
      <c r="I150" s="37">
        <v>5933</v>
      </c>
      <c r="J150" s="37">
        <v>1151</v>
      </c>
      <c r="K150" s="37">
        <v>211</v>
      </c>
      <c r="L150" s="37">
        <v>2001</v>
      </c>
      <c r="M150" s="37">
        <v>1901</v>
      </c>
      <c r="N150" s="37"/>
    </row>
    <row r="151" spans="2:14">
      <c r="B151" s="1" t="s">
        <v>130</v>
      </c>
      <c r="E151" s="36"/>
      <c r="F151" s="37"/>
      <c r="G151" s="37"/>
      <c r="H151" s="37"/>
      <c r="I151" s="37">
        <v>508</v>
      </c>
      <c r="J151" s="37">
        <v>-3191</v>
      </c>
      <c r="K151" s="37">
        <v>-4379</v>
      </c>
      <c r="L151" s="37">
        <v>-1674</v>
      </c>
      <c r="M151" s="37">
        <v>-3062</v>
      </c>
      <c r="N151" s="37"/>
    </row>
    <row r="152" spans="2:14" ht="17" thickBot="1">
      <c r="B152" s="55" t="s">
        <v>133</v>
      </c>
      <c r="C152" s="55"/>
      <c r="D152" s="55"/>
      <c r="E152" s="56">
        <f t="shared" ref="E152:M152" si="30">SUM(E148:E151)</f>
        <v>0</v>
      </c>
      <c r="F152" s="56">
        <f t="shared" si="30"/>
        <v>0</v>
      </c>
      <c r="G152" s="56">
        <f t="shared" si="30"/>
        <v>0</v>
      </c>
      <c r="H152" s="56">
        <f t="shared" si="30"/>
        <v>4602</v>
      </c>
      <c r="I152" s="56">
        <f t="shared" si="30"/>
        <v>8309</v>
      </c>
      <c r="J152" s="56">
        <f t="shared" si="30"/>
        <v>10917</v>
      </c>
      <c r="K152" s="56">
        <f t="shared" si="30"/>
        <v>2013</v>
      </c>
      <c r="L152" s="56">
        <f t="shared" si="30"/>
        <v>5149</v>
      </c>
      <c r="M152" s="56">
        <f t="shared" si="30"/>
        <v>11756</v>
      </c>
      <c r="N152" s="56">
        <f>SUM(N148:N151)</f>
        <v>8434</v>
      </c>
    </row>
    <row r="153" spans="2:14" ht="17" thickTop="1"/>
  </sheetData>
  <mergeCells count="1"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9434D-C223-0D43-8051-2D10CC89CA33}">
  <sheetPr>
    <outlinePr summaryBelow="0"/>
  </sheetPr>
  <dimension ref="B1:F9"/>
  <sheetViews>
    <sheetView showGridLines="0" workbookViewId="0">
      <selection activeCell="L21" sqref="L21"/>
    </sheetView>
  </sheetViews>
  <sheetFormatPr baseColWidth="10" defaultRowHeight="16" outlineLevelRow="1" outlineLevelCol="1"/>
  <cols>
    <col min="3" max="3" width="29" customWidth="1"/>
    <col min="4" max="6" width="12.6640625" bestFit="1" customWidth="1" outlineLevel="1"/>
  </cols>
  <sheetData>
    <row r="1" spans="2:6" ht="17" thickBot="1"/>
    <row r="2" spans="2:6">
      <c r="B2" s="112" t="s">
        <v>307</v>
      </c>
      <c r="C2" s="112"/>
      <c r="D2" s="113"/>
      <c r="E2" s="113"/>
      <c r="F2" s="113"/>
    </row>
    <row r="3" spans="2:6" collapsed="1">
      <c r="B3" s="114"/>
      <c r="C3" s="114"/>
      <c r="D3" s="115" t="s">
        <v>298</v>
      </c>
      <c r="E3" s="115" t="s">
        <v>283</v>
      </c>
      <c r="F3" s="115" t="s">
        <v>284</v>
      </c>
    </row>
    <row r="4" spans="2:6" ht="72" hidden="1" outlineLevel="1">
      <c r="B4" s="109"/>
      <c r="C4" s="109"/>
      <c r="D4" s="111" t="s">
        <v>306</v>
      </c>
      <c r="E4" s="111" t="s">
        <v>308</v>
      </c>
      <c r="F4" s="111" t="s">
        <v>308</v>
      </c>
    </row>
    <row r="5" spans="2:6">
      <c r="B5" s="109"/>
      <c r="C5" s="109" t="s">
        <v>310</v>
      </c>
      <c r="D5" s="9">
        <v>1.7261218977319499</v>
      </c>
      <c r="E5" s="9">
        <v>1.3266675202332501</v>
      </c>
      <c r="F5" s="9">
        <v>1.1039324370455199</v>
      </c>
    </row>
    <row r="6" spans="2:6" ht="17" outlineLevel="1" thickBot="1">
      <c r="B6" s="110"/>
      <c r="C6" s="110" t="s">
        <v>311</v>
      </c>
      <c r="D6" s="108">
        <v>1.3291138612536</v>
      </c>
      <c r="E6" s="108">
        <v>1.0215339905795999</v>
      </c>
      <c r="F6" s="108">
        <v>0.85002797652504702</v>
      </c>
    </row>
    <row r="8" spans="2:6" outlineLevel="1"/>
    <row r="9" spans="2:6" outlineLevel="1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5117B-B307-7C42-8DC0-A809EE556B83}">
  <sheetPr codeName="Sheet2"/>
  <dimension ref="A1:AX212"/>
  <sheetViews>
    <sheetView showGridLines="0" topLeftCell="B1" zoomScale="125" zoomScaleNormal="95" workbookViewId="0">
      <pane ySplit="1" topLeftCell="A50" activePane="bottomLeft" state="frozen"/>
      <selection pane="bottomLeft" activeCell="D6" sqref="D6"/>
    </sheetView>
  </sheetViews>
  <sheetFormatPr baseColWidth="10" defaultRowHeight="16"/>
  <cols>
    <col min="1" max="1" width="2.5" customWidth="1"/>
    <col min="2" max="2" width="23.83203125" customWidth="1"/>
    <col min="3" max="3" width="6.83203125" customWidth="1"/>
    <col min="4" max="4" width="16" customWidth="1"/>
    <col min="5" max="5" width="9.83203125" customWidth="1"/>
    <col min="6" max="6" width="55.5" customWidth="1"/>
    <col min="7" max="7" width="15.6640625" customWidth="1"/>
    <col min="8" max="8" width="13.6640625" customWidth="1"/>
    <col min="9" max="9" width="18" customWidth="1"/>
    <col min="10" max="10" width="15.6640625" customWidth="1"/>
    <col min="11" max="11" width="18.5" customWidth="1"/>
    <col min="12" max="12" width="15.5" customWidth="1"/>
    <col min="13" max="13" width="14" customWidth="1"/>
    <col min="14" max="14" width="16.6640625" customWidth="1"/>
    <col min="15" max="15" width="17.5" customWidth="1"/>
    <col min="16" max="16" width="16.6640625" customWidth="1"/>
    <col min="17" max="17" width="17.33203125" customWidth="1"/>
    <col min="18" max="18" width="14" customWidth="1"/>
    <col min="19" max="19" width="16.1640625" customWidth="1"/>
    <col min="20" max="20" width="14.6640625" customWidth="1"/>
    <col min="21" max="21" width="16.83203125" customWidth="1"/>
    <col min="22" max="22" width="18" hidden="1" customWidth="1"/>
    <col min="23" max="23" width="18.5" hidden="1" customWidth="1"/>
    <col min="24" max="24" width="16.1640625" hidden="1" customWidth="1"/>
    <col min="25" max="25" width="16.6640625" hidden="1" customWidth="1"/>
    <col min="26" max="26" width="17.1640625" hidden="1" customWidth="1"/>
    <col min="30" max="30" width="12.83203125" bestFit="1" customWidth="1"/>
    <col min="31" max="31" width="14.83203125" customWidth="1"/>
    <col min="32" max="32" width="17.1640625" customWidth="1"/>
    <col min="33" max="33" width="14.33203125" customWidth="1"/>
    <col min="34" max="34" width="14.6640625" customWidth="1"/>
  </cols>
  <sheetData>
    <row r="1" spans="1:29" s="117" customFormat="1" ht="24">
      <c r="A1" s="117" t="s">
        <v>98</v>
      </c>
    </row>
    <row r="2" spans="1:29" s="6" customFormat="1" ht="14" customHeight="1">
      <c r="B2"/>
      <c r="C2"/>
      <c r="D2"/>
    </row>
    <row r="3" spans="1:29" s="6" customFormat="1" ht="15" customHeight="1">
      <c r="B3"/>
      <c r="C3"/>
      <c r="D3"/>
      <c r="F3" s="31"/>
      <c r="G3" s="31"/>
      <c r="AA3"/>
      <c r="AB3"/>
      <c r="AC3"/>
    </row>
    <row r="4" spans="1:29" ht="17" customHeight="1">
      <c r="B4" t="s">
        <v>270</v>
      </c>
      <c r="D4" s="78">
        <v>5</v>
      </c>
      <c r="F4" s="11"/>
      <c r="G4" s="18">
        <f>'Statements Input'!E11</f>
        <v>2016</v>
      </c>
      <c r="H4" s="18">
        <f>'Statements Input'!F11</f>
        <v>2017</v>
      </c>
      <c r="I4" s="18">
        <f>'Statements Input'!G11</f>
        <v>2018</v>
      </c>
      <c r="J4" s="18">
        <f>'Statements Input'!H11</f>
        <v>2019</v>
      </c>
      <c r="K4" s="18">
        <f>'Statements Input'!I11</f>
        <v>2020</v>
      </c>
      <c r="L4" s="18">
        <f>'Statements Input'!J11</f>
        <v>2021</v>
      </c>
      <c r="M4" s="18">
        <f>'Statements Input'!K11</f>
        <v>2022</v>
      </c>
      <c r="N4" s="18">
        <f>'Statements Input'!L11</f>
        <v>2023</v>
      </c>
      <c r="O4" s="18">
        <f>'Statements Input'!M11</f>
        <v>2024</v>
      </c>
      <c r="P4" s="18">
        <f>'Statements Input'!N11</f>
        <v>2025</v>
      </c>
      <c r="Q4" s="38">
        <f>P4+1</f>
        <v>2026</v>
      </c>
      <c r="R4" s="39">
        <f t="shared" ref="R4:Z4" si="0">Q4+1</f>
        <v>2027</v>
      </c>
      <c r="S4" s="39">
        <f t="shared" si="0"/>
        <v>2028</v>
      </c>
      <c r="T4" s="39">
        <f t="shared" si="0"/>
        <v>2029</v>
      </c>
      <c r="U4" s="39">
        <f t="shared" si="0"/>
        <v>2030</v>
      </c>
      <c r="V4" s="39">
        <f t="shared" si="0"/>
        <v>2031</v>
      </c>
      <c r="W4" s="39">
        <f t="shared" si="0"/>
        <v>2032</v>
      </c>
      <c r="X4" s="39">
        <f t="shared" si="0"/>
        <v>2033</v>
      </c>
      <c r="Y4" s="39">
        <f t="shared" si="0"/>
        <v>2034</v>
      </c>
      <c r="Z4" s="39">
        <f t="shared" si="0"/>
        <v>2035</v>
      </c>
    </row>
    <row r="5" spans="1:29">
      <c r="B5" t="s">
        <v>279</v>
      </c>
      <c r="D5" s="78" t="s">
        <v>280</v>
      </c>
      <c r="F5" t="s">
        <v>1</v>
      </c>
      <c r="G5" s="9">
        <f>'Statements Input'!E12</f>
        <v>0</v>
      </c>
      <c r="H5" s="9">
        <f>'Statements Input'!F12</f>
        <v>0</v>
      </c>
      <c r="I5" s="9">
        <f>'Statements Input'!G12</f>
        <v>0</v>
      </c>
      <c r="J5" s="9">
        <f>'Statements Input'!H12</f>
        <v>225246</v>
      </c>
      <c r="K5" s="9">
        <f>'Statements Input'!I12</f>
        <v>230029</v>
      </c>
      <c r="L5" s="9">
        <f>'Statements Input'!J12</f>
        <v>264465</v>
      </c>
      <c r="M5" s="9">
        <f>'Statements Input'!K12</f>
        <v>290431</v>
      </c>
      <c r="N5" s="9">
        <f>'Statements Input'!L12</f>
        <v>280714</v>
      </c>
      <c r="O5" s="9">
        <f>'Statements Input'!M12</f>
        <v>270347</v>
      </c>
      <c r="P5" s="9">
        <f>'Statements Input'!N12</f>
        <v>287430</v>
      </c>
      <c r="Q5" s="29">
        <f>P5*(1+Q6)</f>
        <v>307390.41666666669</v>
      </c>
      <c r="R5" s="9">
        <f>Q5*(1+R104)</f>
        <v>328736.97337962966</v>
      </c>
      <c r="S5" s="9">
        <f>R5*(1+S104)</f>
        <v>351565.92986432614</v>
      </c>
      <c r="T5" s="9">
        <f>S5*(1+T104)</f>
        <v>375980.23054934881</v>
      </c>
      <c r="U5" s="9">
        <f>T5*(1+U104)</f>
        <v>402089.96878194244</v>
      </c>
      <c r="V5" s="9">
        <f>U5*(1+V103)</f>
        <v>430012.88328068843</v>
      </c>
      <c r="W5" s="9">
        <f>V5*(1+W103)</f>
        <v>459874.88906406955</v>
      </c>
      <c r="X5" s="9">
        <f>W5*(1+X103)</f>
        <v>491810.64524907438</v>
      </c>
      <c r="Y5" s="9">
        <f>X5*(1+Y103)</f>
        <v>525964.16228026012</v>
      </c>
      <c r="Z5" s="9">
        <f>Y5*(1+Z103)</f>
        <v>562489.4513275004</v>
      </c>
    </row>
    <row r="6" spans="1:29">
      <c r="B6" t="s">
        <v>285</v>
      </c>
      <c r="D6" s="5" t="s">
        <v>283</v>
      </c>
      <c r="F6" s="96" t="s">
        <v>294</v>
      </c>
      <c r="G6" s="101"/>
      <c r="H6" s="101"/>
      <c r="I6" s="101"/>
      <c r="J6" s="101"/>
      <c r="K6" s="101"/>
      <c r="L6" s="101"/>
      <c r="M6" s="101"/>
      <c r="N6" s="101"/>
      <c r="O6" s="101"/>
      <c r="P6" s="101"/>
      <c r="Q6" s="98" cm="1">
        <f t="array" ref="Q6">INDEX($Q$104:$U$106, MATCH($D$6,$F$104:$F$106,0), (COLUMN()-COLUMN($Q$6)+1))</f>
        <v>6.9444444444444448E-2</v>
      </c>
      <c r="R6" s="99" cm="1">
        <f t="array" ref="R6">INDEX($Q$104:$U$106, MATCH($D$6,$F$104:$F$106,0), (COLUMN()-COLUMN($Q$6)+1))</f>
        <v>6.9444444444444448E-2</v>
      </c>
      <c r="S6" s="99" cm="1">
        <f t="array" ref="S6">INDEX($Q$104:$U$106, MATCH($D$6,$F$104:$F$106,0), (COLUMN()-COLUMN($Q$6)+1))</f>
        <v>6.9444444444444461E-2</v>
      </c>
      <c r="T6" s="99" cm="1">
        <f t="array" ref="T6">INDEX($Q$104:$U$106, MATCH($D$6,$F$104:$F$106,0), (COLUMN()-COLUMN($Q$6)+1))</f>
        <v>6.9444444444444448E-2</v>
      </c>
      <c r="U6" s="99" cm="1">
        <f t="array" ref="U6">INDEX($Q$104:$U$106, MATCH($D$6,$F$104:$F$106,0), (COLUMN()-COLUMN($Q$6)+1))</f>
        <v>6.9444444444444461E-2</v>
      </c>
      <c r="V6" s="99" cm="1">
        <f t="array" ref="V6">INDEX($Q$103:$Z$105, MATCH($D$6,$F$104:$F$106,0), (COLUMN()-COLUMN($Q$6)+1))</f>
        <v>6.9444444444444448E-2</v>
      </c>
      <c r="W6" s="99" cm="1">
        <f t="array" ref="W6">INDEX($Q$103:$Z$105, MATCH($D$6,$F$104:$F$106,0), (COLUMN()-COLUMN($Q$6)+1))</f>
        <v>6.9444444444444461E-2</v>
      </c>
      <c r="X6" s="99" cm="1">
        <f t="array" ref="X6">INDEX($Q$103:$Z$105, MATCH($D$6,$F$104:$F$106,0), (COLUMN()-COLUMN($Q$6)+1))</f>
        <v>6.9444444444444448E-2</v>
      </c>
      <c r="Y6" s="99" cm="1">
        <f t="array" ref="Y6">INDEX($Q$103:$Z$105, MATCH($D$6,$F$104:$F$106,0), (COLUMN()-COLUMN($Q$6)+1))</f>
        <v>6.9444444444444461E-2</v>
      </c>
      <c r="Z6" s="99" cm="1">
        <f t="array" ref="Z6">INDEX($Q$103:$Z$105, MATCH($D$6,$F$104:$F$106,0), (COLUMN()-COLUMN($Q$6)+1))</f>
        <v>6.9444444444444461E-2</v>
      </c>
    </row>
    <row r="7" spans="1:29">
      <c r="G7" s="9"/>
      <c r="H7" s="9"/>
      <c r="I7" s="9"/>
      <c r="J7" s="9"/>
      <c r="K7" s="9"/>
      <c r="L7" s="9"/>
      <c r="M7" s="9"/>
      <c r="N7" s="9"/>
      <c r="O7" s="9"/>
      <c r="P7" s="9"/>
      <c r="Q7" s="29"/>
      <c r="R7" s="9"/>
      <c r="S7" s="9"/>
      <c r="T7" s="9"/>
      <c r="U7" s="9"/>
      <c r="V7" s="9"/>
      <c r="W7" s="9"/>
      <c r="X7" s="9"/>
      <c r="Y7" s="9"/>
      <c r="Z7" s="9"/>
    </row>
    <row r="8" spans="1:29" ht="16" customHeight="1">
      <c r="B8" s="11" t="s">
        <v>156</v>
      </c>
      <c r="C8" s="11"/>
      <c r="D8" s="11"/>
      <c r="F8" t="s">
        <v>2</v>
      </c>
      <c r="G8" s="9">
        <f>'Statements Input'!E13</f>
        <v>0</v>
      </c>
      <c r="H8" s="9">
        <f>'Statements Input'!F13</f>
        <v>0</v>
      </c>
      <c r="I8" s="9">
        <f>'Statements Input'!G13</f>
        <v>0</v>
      </c>
      <c r="J8" s="9">
        <f>'Statements Input'!H13</f>
        <v>-153256</v>
      </c>
      <c r="K8" s="9">
        <f>'Statements Input'!I13</f>
        <v>-153483</v>
      </c>
      <c r="L8" s="9">
        <f>'Statements Input'!J13</f>
        <v>-174998</v>
      </c>
      <c r="M8" s="9">
        <f>'Statements Input'!K13</f>
        <v>-192374</v>
      </c>
      <c r="N8" s="9">
        <f>'Statements Input'!L13</f>
        <v>-175033</v>
      </c>
      <c r="O8" s="9">
        <f>'Statements Input'!M13</f>
        <v>-165065</v>
      </c>
      <c r="P8" s="9">
        <f>'Statements Input'!N13</f>
        <v>-178130</v>
      </c>
      <c r="Q8" s="29">
        <f t="shared" ref="Q8:T8" si="1">-Q5*Q9</f>
        <v>-190582.05833333335</v>
      </c>
      <c r="R8" s="9">
        <f t="shared" si="1"/>
        <v>-203816.9234953704</v>
      </c>
      <c r="S8" s="9">
        <f t="shared" si="1"/>
        <v>-217970.87651588221</v>
      </c>
      <c r="T8" s="9">
        <f t="shared" si="1"/>
        <v>-233107.74294059625</v>
      </c>
      <c r="U8" s="9">
        <f t="shared" ref="U8:Z8" si="2">-U5*U9</f>
        <v>-249295.78064480433</v>
      </c>
      <c r="V8" s="9">
        <f t="shared" si="2"/>
        <v>-266607.98763402685</v>
      </c>
      <c r="W8" s="9">
        <f t="shared" si="2"/>
        <v>-285122.43121972313</v>
      </c>
      <c r="X8" s="9">
        <f t="shared" si="2"/>
        <v>-304922.60005442612</v>
      </c>
      <c r="Y8" s="9">
        <f t="shared" si="2"/>
        <v>-326097.78061376128</v>
      </c>
      <c r="Z8" s="9">
        <f t="shared" si="2"/>
        <v>-348743.45982305025</v>
      </c>
    </row>
    <row r="9" spans="1:29" ht="16" customHeight="1">
      <c r="B9" t="s">
        <v>156</v>
      </c>
      <c r="D9" s="22">
        <f>Risk!I17</f>
        <v>7.1049876181611335E-2</v>
      </c>
      <c r="F9" s="96" t="s">
        <v>295</v>
      </c>
      <c r="G9" s="101"/>
      <c r="H9" s="101"/>
      <c r="I9" s="101"/>
      <c r="J9" s="101"/>
      <c r="K9" s="101"/>
      <c r="L9" s="101"/>
      <c r="M9" s="101"/>
      <c r="N9" s="101"/>
      <c r="O9" s="101"/>
      <c r="P9" s="101"/>
      <c r="Q9" s="98" cm="1">
        <f t="array" ref="Q9">INDEX($Q$109:$U$111, MATCH($D$6,$F$109:$F$111,0), (COLUMN()-COLUMN($Q$9)+1))</f>
        <v>0.62</v>
      </c>
      <c r="R9" s="99" cm="1">
        <f t="array" ref="R9">INDEX($Q$109:$U$111, MATCH($D$6,$F$109:$F$111,0), (COLUMN()-COLUMN($Q$9)+1))</f>
        <v>0.62</v>
      </c>
      <c r="S9" s="99" cm="1">
        <f t="array" ref="S9">INDEX($Q$109:$U$111, MATCH($D$6,$F$109:$F$111,0), (COLUMN()-COLUMN($Q$9)+1))</f>
        <v>0.62</v>
      </c>
      <c r="T9" s="99" cm="1">
        <f t="array" ref="T9">INDEX($Q$109:$U$111, MATCH($D$6,$F$109:$F$111,0), (COLUMN()-COLUMN($Q$9)+1))</f>
        <v>0.62</v>
      </c>
      <c r="U9" s="99" cm="1">
        <f t="array" ref="U9">INDEX($Q$109:$U$111, MATCH($D$6,$F$109:$F$111,0), (COLUMN()-COLUMN($Q$9)+1))</f>
        <v>0.62</v>
      </c>
      <c r="V9" s="99" cm="1">
        <f t="array" ref="V9">INDEX($Q$108:$Z$110, MATCH($D$6,$F$109:$F$111,0), (COLUMN()-COLUMN($Q$9)+1))</f>
        <v>0.62</v>
      </c>
      <c r="W9" s="99" cm="1">
        <f t="array" ref="W9">INDEX($Q$108:$Z$110, MATCH($D$6,$F$109:$F$111,0), (COLUMN()-COLUMN($Q$9)+1))</f>
        <v>0.62</v>
      </c>
      <c r="X9" s="99" cm="1">
        <f t="array" ref="X9">INDEX($Q$108:$Z$110, MATCH($D$6,$F$109:$F$111,0), (COLUMN()-COLUMN($Q$9)+1))</f>
        <v>0.62</v>
      </c>
      <c r="Y9" s="99" cm="1">
        <f t="array" ref="Y9">INDEX($Q$108:$Z$110, MATCH($D$6,$F$109:$F$111,0), (COLUMN()-COLUMN($Q$9)+1))</f>
        <v>0.62</v>
      </c>
      <c r="Z9" s="99" cm="1">
        <f t="array" ref="Z9">INDEX($Q$108:$Z$110, MATCH($D$6,$F$109:$F$111,0), (COLUMN()-COLUMN($Q$9)+1))</f>
        <v>0.62</v>
      </c>
    </row>
    <row r="10" spans="1:29" ht="17" thickBot="1">
      <c r="B10" s="30" t="s">
        <v>160</v>
      </c>
      <c r="C10" s="30"/>
      <c r="D10" s="30"/>
      <c r="F10" s="10" t="s">
        <v>28</v>
      </c>
      <c r="G10" s="56">
        <f t="shared" ref="G10:U10" si="3">G5+G8</f>
        <v>0</v>
      </c>
      <c r="H10" s="56">
        <f t="shared" si="3"/>
        <v>0</v>
      </c>
      <c r="I10" s="56">
        <f t="shared" si="3"/>
        <v>0</v>
      </c>
      <c r="J10" s="56">
        <f t="shared" si="3"/>
        <v>71990</v>
      </c>
      <c r="K10" s="56">
        <f t="shared" si="3"/>
        <v>76546</v>
      </c>
      <c r="L10" s="56">
        <f t="shared" si="3"/>
        <v>89467</v>
      </c>
      <c r="M10" s="56">
        <f t="shared" si="3"/>
        <v>98057</v>
      </c>
      <c r="N10" s="56">
        <f t="shared" si="3"/>
        <v>105681</v>
      </c>
      <c r="O10" s="56">
        <f t="shared" si="3"/>
        <v>105282</v>
      </c>
      <c r="P10" s="56">
        <f t="shared" si="3"/>
        <v>109300</v>
      </c>
      <c r="Q10" s="57">
        <f t="shared" si="3"/>
        <v>116808.35833333334</v>
      </c>
      <c r="R10" s="56">
        <f t="shared" si="3"/>
        <v>124920.04988425926</v>
      </c>
      <c r="S10" s="56">
        <f t="shared" si="3"/>
        <v>133595.05334844394</v>
      </c>
      <c r="T10" s="56">
        <f t="shared" si="3"/>
        <v>142872.48760875256</v>
      </c>
      <c r="U10" s="56">
        <f t="shared" si="3"/>
        <v>152794.18813713812</v>
      </c>
      <c r="V10" s="56">
        <f t="shared" ref="V10:Z10" si="4">V5+V8</f>
        <v>163404.89564666158</v>
      </c>
      <c r="W10" s="56">
        <f t="shared" si="4"/>
        <v>174752.45784434641</v>
      </c>
      <c r="X10" s="56">
        <f t="shared" si="4"/>
        <v>186888.04519464826</v>
      </c>
      <c r="Y10" s="56">
        <f t="shared" si="4"/>
        <v>199866.38166649884</v>
      </c>
      <c r="Z10" s="56">
        <f t="shared" si="4"/>
        <v>213745.99150445015</v>
      </c>
    </row>
    <row r="11" spans="1:29" ht="17" thickTop="1">
      <c r="B11" t="s">
        <v>161</v>
      </c>
      <c r="D11" s="9">
        <f>'Statements Input'!N128+'Statements Input'!N120+'Statements Input'!N122</f>
        <v>79946</v>
      </c>
      <c r="Q11" s="29"/>
      <c r="R11" s="9"/>
      <c r="S11" s="9"/>
      <c r="T11" s="9"/>
      <c r="U11" s="9"/>
      <c r="V11" s="9"/>
      <c r="W11" s="9"/>
      <c r="X11" s="9"/>
      <c r="Y11" s="9"/>
      <c r="Z11" s="9"/>
    </row>
    <row r="12" spans="1:29">
      <c r="F12" t="s">
        <v>101</v>
      </c>
      <c r="G12" s="9">
        <f>'Statements Input'!E19</f>
        <v>0</v>
      </c>
      <c r="H12" s="9">
        <f>'Statements Input'!F19</f>
        <v>0</v>
      </c>
      <c r="I12" s="9">
        <f>'Statements Input'!G19</f>
        <v>0</v>
      </c>
      <c r="J12" s="9">
        <f>'Statements Input'!H19</f>
        <v>-34937</v>
      </c>
      <c r="K12" s="9">
        <f>'Statements Input'!I19</f>
        <v>-35027</v>
      </c>
      <c r="L12" s="9">
        <f>'Statements Input'!J19</f>
        <v>-40201</v>
      </c>
      <c r="M12" s="9">
        <f>'Statements Input'!K19</f>
        <v>-43850</v>
      </c>
      <c r="N12" s="9">
        <f>'Statements Input'!L19</f>
        <v>-48665</v>
      </c>
      <c r="O12" s="9">
        <f>'Statements Input'!M19</f>
        <v>-48614</v>
      </c>
      <c r="P12" s="9">
        <f>'Statements Input'!N19</f>
        <v>-50587.68</v>
      </c>
      <c r="Q12" s="29">
        <f>-Q5*Q13</f>
        <v>-54100.71333333334</v>
      </c>
      <c r="R12" s="9">
        <f t="shared" ref="R12:U12" si="5">-R5*R13</f>
        <v>-57857.707314814827</v>
      </c>
      <c r="S12" s="9">
        <f t="shared" si="5"/>
        <v>-61875.603656121406</v>
      </c>
      <c r="T12" s="9">
        <f t="shared" si="5"/>
        <v>-66172.520576685391</v>
      </c>
      <c r="U12" s="9">
        <f t="shared" si="5"/>
        <v>-70767.834505621882</v>
      </c>
      <c r="V12" s="9">
        <f t="shared" ref="V12:Z12" si="6">-V5*V13</f>
        <v>-75682.267457401176</v>
      </c>
      <c r="W12" s="9">
        <f t="shared" si="6"/>
        <v>-80937.980475276243</v>
      </c>
      <c r="X12" s="9">
        <f t="shared" si="6"/>
        <v>-86558.673563837103</v>
      </c>
      <c r="Y12" s="9">
        <f t="shared" si="6"/>
        <v>-92569.692561325792</v>
      </c>
      <c r="Z12" s="9">
        <f t="shared" si="6"/>
        <v>-98998.143433640085</v>
      </c>
    </row>
    <row r="13" spans="1:29">
      <c r="F13" s="96" t="s">
        <v>112</v>
      </c>
      <c r="G13" s="101"/>
      <c r="H13" s="101"/>
      <c r="I13" s="101"/>
      <c r="J13" s="101"/>
      <c r="K13" s="101"/>
      <c r="L13" s="101"/>
      <c r="M13" s="101"/>
      <c r="N13" s="101"/>
      <c r="O13" s="101"/>
      <c r="P13" s="101"/>
      <c r="Q13" s="98" cm="1">
        <f t="array" ref="Q13">INDEX($Q$114:$U$116, MATCH($D$6,$F$114:$F$116,0), (COLUMN()-COLUMN($Q$12)+1))</f>
        <v>0.17600000000000002</v>
      </c>
      <c r="R13" s="99" cm="1">
        <f t="array" ref="R13">INDEX($Q$114:$U$116, MATCH($D$6,$F$114:$F$116,0), (COLUMN()-COLUMN($Q$12)+1))</f>
        <v>0.17600000000000002</v>
      </c>
      <c r="S13" s="99" cm="1">
        <f t="array" ref="S13">INDEX($Q$114:$U$116, MATCH($D$6,$F$114:$F$116,0), (COLUMN()-COLUMN($Q$12)+1))</f>
        <v>0.17600000000000002</v>
      </c>
      <c r="T13" s="99" cm="1">
        <f t="array" ref="T13">INDEX($Q$114:$U$116, MATCH($D$6,$F$114:$F$116,0), (COLUMN()-COLUMN($Q$12)+1))</f>
        <v>0.17600000000000002</v>
      </c>
      <c r="U13" s="99" cm="1">
        <f t="array" ref="U13">INDEX($Q$114:$U$116, MATCH($D$6,$F$114:$F$116,0), (COLUMN()-COLUMN($Q$12)+1))</f>
        <v>0.17600000000000002</v>
      </c>
      <c r="V13" s="99" cm="1">
        <f t="array" ref="V13">INDEX($Q$113:$Z$115, MATCH($D$6,$F$114:$F$116,0), (COLUMN()-COLUMN($Q$12)+1))</f>
        <v>0.17600000000000002</v>
      </c>
      <c r="W13" s="99" cm="1">
        <f t="array" ref="W13">INDEX($Q$113:$Z$115, MATCH($D$6,$F$114:$F$116,0), (COLUMN()-COLUMN($Q$12)+1))</f>
        <v>0.17600000000000002</v>
      </c>
      <c r="X13" s="99" cm="1">
        <f t="array" ref="X13">INDEX($Q$113:$Z$115, MATCH($D$6,$F$114:$F$116,0), (COLUMN()-COLUMN($Q$12)+1))</f>
        <v>0.17600000000000002</v>
      </c>
      <c r="Y13" s="99" cm="1">
        <f t="array" ref="Y13">INDEX($Q$113:$Z$115, MATCH($D$6,$F$114:$F$116,0), (COLUMN()-COLUMN($Q$12)+1))</f>
        <v>0.17600000000000002</v>
      </c>
      <c r="Z13" s="99" cm="1">
        <f t="array" ref="Z13">INDEX($Q$113:$Z$115, MATCH($D$6,$F$114:$F$116,0), (COLUMN()-COLUMN($Q$12)+1))</f>
        <v>0.17600000000000002</v>
      </c>
    </row>
    <row r="14" spans="1:29">
      <c r="B14" s="11" t="s">
        <v>153</v>
      </c>
      <c r="C14" s="11"/>
      <c r="D14" s="11"/>
      <c r="G14" s="9"/>
      <c r="H14" s="9"/>
      <c r="I14" s="9"/>
      <c r="J14" s="9"/>
      <c r="K14" s="9"/>
      <c r="L14" s="9"/>
      <c r="M14" s="9"/>
      <c r="N14" s="9"/>
      <c r="O14" s="9"/>
      <c r="P14" s="9"/>
      <c r="Q14" s="29"/>
      <c r="R14" s="9"/>
      <c r="S14" s="9"/>
      <c r="T14" s="9"/>
      <c r="U14" s="9"/>
      <c r="V14" s="9"/>
      <c r="W14" s="9"/>
      <c r="X14" s="9"/>
      <c r="Y14" s="9"/>
      <c r="Z14" s="9"/>
    </row>
    <row r="15" spans="1:29">
      <c r="B15" t="s">
        <v>154</v>
      </c>
      <c r="D15" s="9" cm="1">
        <f t="array" ref="D15">INDEX(Q41:Z41, 1, D4)</f>
        <v>15946.545790961904</v>
      </c>
      <c r="F15" t="s">
        <v>102</v>
      </c>
      <c r="G15" s="9">
        <f>'Statements Input'!E23</f>
        <v>0</v>
      </c>
      <c r="H15" s="9">
        <f>'Statements Input'!F23</f>
        <v>0</v>
      </c>
      <c r="I15" s="9">
        <f>'Statements Input'!G23</f>
        <v>0</v>
      </c>
      <c r="J15" s="9">
        <f>'Statements Input'!H23</f>
        <v>-12354</v>
      </c>
      <c r="K15" s="9">
        <f>'Statements Input'!I23</f>
        <v>-16151</v>
      </c>
      <c r="L15" s="9">
        <f>'Statements Input'!J23</f>
        <v>-14215</v>
      </c>
      <c r="M15" s="9">
        <f>'Statements Input'!K23</f>
        <v>-20094</v>
      </c>
      <c r="N15" s="9">
        <f>'Statements Input'!L23</f>
        <v>-21340</v>
      </c>
      <c r="O15" s="9">
        <f>'Statements Input'!M23</f>
        <v>-17992</v>
      </c>
      <c r="P15" s="9">
        <f>'Statements Input'!N23</f>
        <v>-22234.38</v>
      </c>
      <c r="Q15" s="29">
        <f>-Q5*Q16</f>
        <v>-21078.658504276627</v>
      </c>
      <c r="R15" s="9">
        <f t="shared" ref="R15:U15" si="7">-R5*R16</f>
        <v>-22542.454233740282</v>
      </c>
      <c r="S15" s="9">
        <f t="shared" si="7"/>
        <v>-24107.90244441669</v>
      </c>
      <c r="T15" s="9">
        <f t="shared" si="7"/>
        <v>-25782.06233639007</v>
      </c>
      <c r="U15" s="9">
        <f t="shared" si="7"/>
        <v>-27572.483331972711</v>
      </c>
      <c r="V15" s="9">
        <f t="shared" ref="V15:Z15" si="8">-V5*V16</f>
        <v>-29487.239118915262</v>
      </c>
      <c r="W15" s="9">
        <f t="shared" si="8"/>
        <v>-31534.964057728819</v>
      </c>
      <c r="X15" s="9">
        <f t="shared" si="8"/>
        <v>-33724.892117293319</v>
      </c>
      <c r="Y15" s="9">
        <f t="shared" si="8"/>
        <v>-36066.898514327579</v>
      </c>
      <c r="Z15" s="9">
        <f t="shared" si="8"/>
        <v>-38571.544244489218</v>
      </c>
    </row>
    <row r="16" spans="1:29">
      <c r="B16" s="40" t="s">
        <v>155</v>
      </c>
      <c r="C16" s="40"/>
      <c r="D16" s="40"/>
      <c r="F16" s="96" t="s">
        <v>113</v>
      </c>
      <c r="G16" s="101"/>
      <c r="H16" s="101"/>
      <c r="I16" s="101"/>
      <c r="J16" s="101"/>
      <c r="K16" s="101"/>
      <c r="L16" s="101"/>
      <c r="M16" s="101"/>
      <c r="N16" s="101"/>
      <c r="O16" s="101"/>
      <c r="P16" s="101"/>
      <c r="Q16" s="98" cm="1">
        <f t="array" ref="Q16">INDEX($Q$119:$U$121, MATCH($D$6,$F$119:$F$121,0), (COLUMN()-COLUMN($Q$16)+1))</f>
        <v>6.8572920173807062E-2</v>
      </c>
      <c r="R16" s="99" cm="1">
        <f t="array" ref="R16">INDEX($Q$119:$U$121, MATCH($D$6,$F$119:$F$121,0), (COLUMN()-COLUMN($Q$16)+1))</f>
        <v>6.8572920173807062E-2</v>
      </c>
      <c r="S16" s="99" cm="1">
        <f t="array" ref="S16">INDEX($Q$119:$U$121, MATCH($D$6,$F$119:$F$121,0), (COLUMN()-COLUMN($Q$16)+1))</f>
        <v>6.8572920173807062E-2</v>
      </c>
      <c r="T16" s="99" cm="1">
        <f t="array" ref="T16">INDEX($Q$119:$U$121, MATCH($D$6,$F$119:$F$121,0), (COLUMN()-COLUMN($Q$16)+1))</f>
        <v>6.8572920173807062E-2</v>
      </c>
      <c r="U16" s="99" cm="1">
        <f t="array" ref="U16">INDEX($Q$119:$U$121, MATCH($D$6,$F$119:$F$121,0), (COLUMN()-COLUMN($Q$16)+1))</f>
        <v>6.8572920173807062E-2</v>
      </c>
      <c r="V16" s="99" cm="1">
        <f t="array" ref="V16">INDEX($Q$118:$Z$120, MATCH($D$6,$F$119:$F$121,0), (COLUMN()-COLUMN($Q$16)+1))</f>
        <v>6.8572920173807062E-2</v>
      </c>
      <c r="W16" s="99" cm="1">
        <f t="array" ref="W16">INDEX($Q$118:$Z$120, MATCH($D$6,$F$119:$F$121,0), (COLUMN()-COLUMN($Q$16)+1))</f>
        <v>6.8572920173807062E-2</v>
      </c>
      <c r="X16" s="99" cm="1">
        <f t="array" ref="X16">INDEX($Q$118:$Z$120, MATCH($D$6,$F$119:$F$121,0), (COLUMN()-COLUMN($Q$16)+1))</f>
        <v>6.8572920173807062E-2</v>
      </c>
      <c r="Y16" s="99" cm="1">
        <f t="array" ref="Y16">INDEX($Q$118:$Z$120, MATCH($D$6,$F$119:$F$121,0), (COLUMN()-COLUMN($Q$16)+1))</f>
        <v>6.8572920173807062E-2</v>
      </c>
      <c r="Z16" s="99" cm="1">
        <f t="array" ref="Z16">INDEX($Q$118:$Z$120, MATCH($D$6,$F$119:$F$121,0), (COLUMN()-COLUMN($Q$16)+1))</f>
        <v>6.8572920173807062E-2</v>
      </c>
    </row>
    <row r="17" spans="2:47">
      <c r="B17" s="1" t="s">
        <v>298</v>
      </c>
      <c r="D17" s="28">
        <v>5.0000000000000001E-3</v>
      </c>
      <c r="Q17" s="29"/>
      <c r="R17" s="9"/>
      <c r="S17" s="9"/>
      <c r="T17" s="9"/>
      <c r="U17" s="9"/>
      <c r="V17" s="9"/>
      <c r="W17" s="9"/>
      <c r="X17" s="9"/>
      <c r="Y17" s="9"/>
      <c r="Z17" s="9"/>
    </row>
    <row r="18" spans="2:47" ht="17" thickBot="1">
      <c r="B18" s="1" t="s">
        <v>283</v>
      </c>
      <c r="D18" s="28">
        <v>5.0000000000000001E-3</v>
      </c>
      <c r="F18" s="10" t="s">
        <v>99</v>
      </c>
      <c r="G18" s="56">
        <f t="shared" ref="G18:U18" si="9">G10+G12+G15</f>
        <v>0</v>
      </c>
      <c r="H18" s="56">
        <f t="shared" si="9"/>
        <v>0</v>
      </c>
      <c r="I18" s="56">
        <f t="shared" si="9"/>
        <v>0</v>
      </c>
      <c r="J18" s="56">
        <f t="shared" si="9"/>
        <v>24699</v>
      </c>
      <c r="K18" s="56">
        <f t="shared" si="9"/>
        <v>25368</v>
      </c>
      <c r="L18" s="56">
        <f t="shared" si="9"/>
        <v>35051</v>
      </c>
      <c r="M18" s="56">
        <f t="shared" si="9"/>
        <v>34113</v>
      </c>
      <c r="N18" s="56">
        <f t="shared" si="9"/>
        <v>35676</v>
      </c>
      <c r="O18" s="56">
        <f t="shared" si="9"/>
        <v>38676</v>
      </c>
      <c r="P18" s="56">
        <f t="shared" si="9"/>
        <v>36477.94</v>
      </c>
      <c r="Q18" s="57">
        <f t="shared" si="9"/>
        <v>41628.986495723366</v>
      </c>
      <c r="R18" s="56">
        <f t="shared" si="9"/>
        <v>44519.888335704163</v>
      </c>
      <c r="S18" s="56">
        <f t="shared" si="9"/>
        <v>47611.547247905837</v>
      </c>
      <c r="T18" s="56">
        <f t="shared" si="9"/>
        <v>50917.904695677105</v>
      </c>
      <c r="U18" s="56">
        <f t="shared" si="9"/>
        <v>54453.870299543523</v>
      </c>
      <c r="V18" s="56">
        <f t="shared" ref="V18:Z18" si="10">V10+V12+V15</f>
        <v>58235.38907034514</v>
      </c>
      <c r="W18" s="56">
        <f t="shared" si="10"/>
        <v>62279.513311341347</v>
      </c>
      <c r="X18" s="56">
        <f t="shared" si="10"/>
        <v>66604.479513517843</v>
      </c>
      <c r="Y18" s="56">
        <f t="shared" si="10"/>
        <v>71229.79059084547</v>
      </c>
      <c r="Z18" s="56">
        <f t="shared" si="10"/>
        <v>76176.303826320858</v>
      </c>
    </row>
    <row r="19" spans="2:47" ht="17" thickTop="1">
      <c r="B19" s="1" t="s">
        <v>284</v>
      </c>
      <c r="D19" s="28">
        <v>-2.5000000000000001E-3</v>
      </c>
      <c r="F19" s="82" t="s">
        <v>301</v>
      </c>
      <c r="G19" s="52" t="str">
        <f t="shared" ref="G19:U19" si="11">IFERROR(G18/G5,"-")</f>
        <v>-</v>
      </c>
      <c r="H19" s="52" t="str">
        <f t="shared" si="11"/>
        <v>-</v>
      </c>
      <c r="I19" s="52" t="str">
        <f t="shared" si="11"/>
        <v>-</v>
      </c>
      <c r="J19" s="52">
        <f t="shared" si="11"/>
        <v>0.10965344556618098</v>
      </c>
      <c r="K19" s="52">
        <f t="shared" si="11"/>
        <v>0.11028174708406331</v>
      </c>
      <c r="L19" s="52">
        <f t="shared" si="11"/>
        <v>0.13253549619042218</v>
      </c>
      <c r="M19" s="52">
        <f t="shared" si="11"/>
        <v>0.11745646986719738</v>
      </c>
      <c r="N19" s="52">
        <f t="shared" si="11"/>
        <v>0.12709020568977678</v>
      </c>
      <c r="O19" s="52">
        <f t="shared" si="11"/>
        <v>0.14306058509989014</v>
      </c>
      <c r="P19" s="52">
        <f t="shared" si="11"/>
        <v>0.12691069129875102</v>
      </c>
      <c r="Q19" s="53">
        <f t="shared" si="11"/>
        <v>0.1354270798261929</v>
      </c>
      <c r="R19" s="52">
        <f t="shared" si="11"/>
        <v>0.13542707982619293</v>
      </c>
      <c r="S19" s="52">
        <f t="shared" si="11"/>
        <v>0.13542707982619293</v>
      </c>
      <c r="T19" s="52">
        <f t="shared" si="11"/>
        <v>0.13542707982619298</v>
      </c>
      <c r="U19" s="52">
        <f t="shared" si="11"/>
        <v>0.13542707982619287</v>
      </c>
      <c r="V19" s="52">
        <f t="shared" ref="V19:Z19" si="12">IFERROR(V18/V5,"-")</f>
        <v>0.13542707982619284</v>
      </c>
      <c r="W19" s="52">
        <f t="shared" si="12"/>
        <v>0.1354270798261929</v>
      </c>
      <c r="X19" s="52">
        <f t="shared" si="12"/>
        <v>0.13542707982619293</v>
      </c>
      <c r="Y19" s="52">
        <f t="shared" si="12"/>
        <v>0.13542707982619293</v>
      </c>
      <c r="Z19" s="52">
        <f t="shared" si="12"/>
        <v>0.13542707982619293</v>
      </c>
    </row>
    <row r="20" spans="2:47">
      <c r="Q20" s="19"/>
    </row>
    <row r="21" spans="2:47">
      <c r="B21" t="s">
        <v>156</v>
      </c>
      <c r="D21" s="22">
        <f>D9</f>
        <v>7.1049876181611335E-2</v>
      </c>
      <c r="F21" t="s">
        <v>124</v>
      </c>
      <c r="G21" s="9">
        <f>'Statements Input'!E20</f>
        <v>0</v>
      </c>
      <c r="H21" s="9">
        <f>'Statements Input'!F20</f>
        <v>0</v>
      </c>
      <c r="I21" s="9">
        <f>'Statements Input'!G20</f>
        <v>0</v>
      </c>
      <c r="J21" s="9">
        <f>'Statements Input'!H20</f>
        <v>0</v>
      </c>
      <c r="K21" s="9">
        <f>'Statements Input'!I20</f>
        <v>0</v>
      </c>
      <c r="L21" s="9">
        <f>'Statements Input'!J20</f>
        <v>0</v>
      </c>
      <c r="M21" s="9">
        <f>'Statements Input'!K20</f>
        <v>0</v>
      </c>
      <c r="N21" s="9">
        <f>'Statements Input'!L20</f>
        <v>0</v>
      </c>
      <c r="O21" s="9">
        <f>'Statements Input'!M20</f>
        <v>0</v>
      </c>
      <c r="P21" s="9">
        <f>'Statements Input'!N20</f>
        <v>0</v>
      </c>
      <c r="Q21" s="29">
        <f>'Statements Input'!O20</f>
        <v>0</v>
      </c>
      <c r="R21" s="9">
        <f>'Statements Input'!P20</f>
        <v>0</v>
      </c>
      <c r="S21" s="9">
        <f>'Statements Input'!Q20</f>
        <v>0</v>
      </c>
      <c r="T21" s="9">
        <f>'Statements Input'!R20</f>
        <v>0</v>
      </c>
      <c r="U21" s="9">
        <f>'Statements Input'!S20</f>
        <v>0</v>
      </c>
      <c r="V21" s="9">
        <f>'Statements Input'!T20</f>
        <v>0</v>
      </c>
      <c r="W21" s="9">
        <f>'Statements Input'!U20</f>
        <v>0</v>
      </c>
      <c r="X21" s="9">
        <f>'Statements Input'!V20</f>
        <v>0</v>
      </c>
      <c r="Y21" s="9">
        <f>'Statements Input'!W20</f>
        <v>0</v>
      </c>
      <c r="Z21" s="9">
        <f>'Statements Input'!X20</f>
        <v>0</v>
      </c>
    </row>
    <row r="22" spans="2:47">
      <c r="F22" t="s">
        <v>123</v>
      </c>
      <c r="G22" s="9">
        <f>'Statements Input'!E21</f>
        <v>0</v>
      </c>
      <c r="H22" s="9">
        <f>'Statements Input'!F21</f>
        <v>0</v>
      </c>
      <c r="I22" s="9">
        <f>'Statements Input'!G21</f>
        <v>0</v>
      </c>
      <c r="J22" s="9">
        <f>'Statements Input'!H21</f>
        <v>-6223</v>
      </c>
      <c r="K22" s="9">
        <f>'Statements Input'!I21</f>
        <v>-6740</v>
      </c>
      <c r="L22" s="9">
        <f>'Statements Input'!J21</f>
        <v>-6899</v>
      </c>
      <c r="M22" s="9">
        <f>'Statements Input'!K21</f>
        <v>-7542</v>
      </c>
      <c r="N22" s="9">
        <f>'Statements Input'!L21</f>
        <v>-7854</v>
      </c>
      <c r="O22" s="9">
        <f>'Statements Input'!M21</f>
        <v>-8878</v>
      </c>
      <c r="P22" s="9">
        <f>'Statements Input'!N21</f>
        <v>-9597</v>
      </c>
      <c r="Q22" s="29">
        <f>Q70</f>
        <v>-9339.3003442487916</v>
      </c>
      <c r="R22" s="9">
        <f>R70</f>
        <v>-9302.0778380152406</v>
      </c>
      <c r="S22" s="9">
        <f>S70</f>
        <v>-9265.0036849686785</v>
      </c>
      <c r="T22" s="9">
        <f>T70</f>
        <v>-9228.0772938359642</v>
      </c>
      <c r="U22" s="9">
        <f>U70</f>
        <v>-9191.2980757005262</v>
      </c>
      <c r="V22" s="9">
        <f>V69</f>
        <v>-9155.2297192190472</v>
      </c>
      <c r="W22" s="9">
        <f>W69</f>
        <v>-9118.6088003421719</v>
      </c>
      <c r="X22" s="9">
        <f>X69</f>
        <v>-9082.1343651408024</v>
      </c>
      <c r="Y22" s="9">
        <f>Y69</f>
        <v>-9045.8058276802403</v>
      </c>
      <c r="Z22" s="9">
        <f>Z69</f>
        <v>-9009.6226043695187</v>
      </c>
    </row>
    <row r="23" spans="2:47">
      <c r="B23" t="s">
        <v>157</v>
      </c>
      <c r="D23" s="9">
        <f>(D15*(1+((INDEX($D17:$D19, MATCH($D$6,$B17:$B19,0))))))/(D9-(INDEX($D17:$D19, MATCH($D$6,$B17:$B19,0))))</f>
        <v>242639.03956232581</v>
      </c>
      <c r="F23" t="s">
        <v>139</v>
      </c>
      <c r="G23" s="9">
        <f>'Statements Input'!E22</f>
        <v>0</v>
      </c>
      <c r="H23" s="9">
        <f>'Statements Input'!F22</f>
        <v>0</v>
      </c>
      <c r="I23" s="9">
        <f>'Statements Input'!G22</f>
        <v>0</v>
      </c>
      <c r="J23" s="9">
        <f>'Statements Input'!H22</f>
        <v>-1598</v>
      </c>
      <c r="K23" s="9">
        <f>'Statements Input'!I22</f>
        <v>-1719</v>
      </c>
      <c r="L23" s="9">
        <f>'Statements Input'!J22</f>
        <v>-1475</v>
      </c>
      <c r="M23" s="9">
        <f>'Statements Input'!K22</f>
        <v>-1498</v>
      </c>
      <c r="N23" s="9">
        <f>'Statements Input'!L22</f>
        <v>-1720</v>
      </c>
      <c r="O23" s="9">
        <f>'Statements Input'!M22</f>
        <v>-1879</v>
      </c>
      <c r="P23" s="9">
        <f>'Statements Input'!N22</f>
        <v>-2224</v>
      </c>
      <c r="Q23" s="29">
        <f>Q57</f>
        <v>-2463.1442030705366</v>
      </c>
      <c r="R23" s="9">
        <f>R57</f>
        <v>-2630.1270395099873</v>
      </c>
      <c r="S23" s="9">
        <f>S57</f>
        <v>-2808.4300689087481</v>
      </c>
      <c r="T23" s="9">
        <f>T57</f>
        <v>-2998.8207160595002</v>
      </c>
      <c r="U23" s="9">
        <f>U57</f>
        <v>-3202.1184314416391</v>
      </c>
      <c r="V23" s="9">
        <f>V56</f>
        <v>-3419.3159285026659</v>
      </c>
      <c r="W23" s="9">
        <f>W56</f>
        <v>-3651.145548455147</v>
      </c>
      <c r="X23" s="9">
        <f>X56</f>
        <v>-3898.6932166404058</v>
      </c>
      <c r="Y23" s="9">
        <f>Y56</f>
        <v>-4163.024616728625</v>
      </c>
      <c r="Z23" s="9">
        <f>Z56</f>
        <v>-4445.2776857428262</v>
      </c>
    </row>
    <row r="24" spans="2:47">
      <c r="G24" s="9"/>
      <c r="H24" s="9"/>
      <c r="I24" s="9"/>
      <c r="J24" s="9"/>
      <c r="K24" s="9"/>
      <c r="L24" s="9"/>
      <c r="M24" s="9"/>
      <c r="N24" s="9"/>
      <c r="O24" s="9"/>
      <c r="P24" s="9"/>
      <c r="Q24" s="29"/>
      <c r="R24" s="9"/>
      <c r="S24" s="9"/>
      <c r="T24" s="9"/>
      <c r="U24" s="9"/>
      <c r="V24" s="9"/>
      <c r="W24" s="9"/>
      <c r="X24" s="9"/>
      <c r="Y24" s="9"/>
      <c r="Z24" s="9"/>
    </row>
    <row r="25" spans="2:47">
      <c r="B25" t="s">
        <v>158</v>
      </c>
      <c r="D25" s="9" cm="1">
        <f t="array" ref="D25">INDEX(Q18:Z18, 1, D4)</f>
        <v>54453.870299543523</v>
      </c>
      <c r="F25" t="s">
        <v>299</v>
      </c>
      <c r="G25" s="9">
        <f t="shared" ref="G25:O25" si="13">SUM(G21:G23)</f>
        <v>0</v>
      </c>
      <c r="H25" s="9">
        <f t="shared" si="13"/>
        <v>0</v>
      </c>
      <c r="I25" s="9">
        <f t="shared" si="13"/>
        <v>0</v>
      </c>
      <c r="J25" s="9">
        <f t="shared" si="13"/>
        <v>-7821</v>
      </c>
      <c r="K25" s="9">
        <f t="shared" si="13"/>
        <v>-8459</v>
      </c>
      <c r="L25" s="9">
        <f t="shared" si="13"/>
        <v>-8374</v>
      </c>
      <c r="M25" s="9">
        <f t="shared" si="13"/>
        <v>-9040</v>
      </c>
      <c r="N25" s="9">
        <f t="shared" si="13"/>
        <v>-9574</v>
      </c>
      <c r="O25" s="9">
        <f t="shared" si="13"/>
        <v>-10757</v>
      </c>
      <c r="P25" s="9">
        <f>SUM(P21:P23)</f>
        <v>-11821</v>
      </c>
      <c r="Q25" s="29">
        <f t="shared" ref="Q25:U25" si="14">SUM(Q21:Q23)</f>
        <v>-11802.444547319328</v>
      </c>
      <c r="R25" s="9">
        <f t="shared" si="14"/>
        <v>-11932.204877525228</v>
      </c>
      <c r="S25" s="9">
        <f t="shared" si="14"/>
        <v>-12073.433753877427</v>
      </c>
      <c r="T25" s="9">
        <f t="shared" si="14"/>
        <v>-12226.898009895463</v>
      </c>
      <c r="U25" s="9">
        <f t="shared" si="14"/>
        <v>-12393.416507142165</v>
      </c>
      <c r="V25" s="9">
        <f t="shared" ref="V25:Z25" si="15">SUM(V21:V23)</f>
        <v>-12574.545647721712</v>
      </c>
      <c r="W25" s="9">
        <f t="shared" si="15"/>
        <v>-12769.75434879732</v>
      </c>
      <c r="X25" s="9">
        <f t="shared" si="15"/>
        <v>-12980.827581781208</v>
      </c>
      <c r="Y25" s="9">
        <f t="shared" si="15"/>
        <v>-13208.830444408864</v>
      </c>
      <c r="Z25" s="9">
        <f t="shared" si="15"/>
        <v>-13454.900290112346</v>
      </c>
    </row>
    <row r="26" spans="2:47" ht="17" thickBot="1">
      <c r="D26" s="9"/>
      <c r="F26" s="10" t="s">
        <v>100</v>
      </c>
      <c r="G26" s="56">
        <f t="shared" ref="G26" si="16">G18+G25</f>
        <v>0</v>
      </c>
      <c r="H26" s="56">
        <f t="shared" ref="H26" si="17">H18+H25</f>
        <v>0</v>
      </c>
      <c r="I26" s="56">
        <f t="shared" ref="I26" si="18">I18+I25</f>
        <v>0</v>
      </c>
      <c r="J26" s="56">
        <f t="shared" ref="J26" si="19">J18+J25</f>
        <v>16878</v>
      </c>
      <c r="K26" s="56">
        <f t="shared" ref="K26" si="20">K18+K25</f>
        <v>16909</v>
      </c>
      <c r="L26" s="56">
        <f t="shared" ref="L26" si="21">L18+L25</f>
        <v>26677</v>
      </c>
      <c r="M26" s="56">
        <f t="shared" ref="M26" si="22">M18+M25</f>
        <v>25073</v>
      </c>
      <c r="N26" s="56">
        <f t="shared" ref="N26" si="23">N18+N25</f>
        <v>26102</v>
      </c>
      <c r="O26" s="56">
        <f t="shared" ref="O26" si="24">O18+O25</f>
        <v>27919</v>
      </c>
      <c r="P26" s="56">
        <f t="shared" ref="P26" si="25">P18+P25</f>
        <v>24656.940000000002</v>
      </c>
      <c r="Q26" s="57">
        <f t="shared" ref="Q26" si="26">Q18+Q25</f>
        <v>29826.541948404039</v>
      </c>
      <c r="R26" s="56">
        <f t="shared" ref="R26" si="27">R18+R25</f>
        <v>32587.683458178937</v>
      </c>
      <c r="S26" s="56">
        <f t="shared" ref="S26" si="28">S18+S25</f>
        <v>35538.11349402841</v>
      </c>
      <c r="T26" s="56">
        <f t="shared" ref="T26" si="29">T18+T25</f>
        <v>38691.006685781642</v>
      </c>
      <c r="U26" s="56">
        <f t="shared" ref="U26:Z26" si="30">U18+U25</f>
        <v>42060.453792401357</v>
      </c>
      <c r="V26" s="56">
        <f t="shared" si="30"/>
        <v>45660.843422623424</v>
      </c>
      <c r="W26" s="56">
        <f t="shared" si="30"/>
        <v>49509.758962544031</v>
      </c>
      <c r="X26" s="56">
        <f t="shared" si="30"/>
        <v>53623.651931736633</v>
      </c>
      <c r="Y26" s="56">
        <f t="shared" si="30"/>
        <v>58020.960146436606</v>
      </c>
      <c r="Z26" s="56">
        <f t="shared" si="30"/>
        <v>62721.403536208512</v>
      </c>
    </row>
    <row r="27" spans="2:47" ht="17" thickTop="1">
      <c r="B27" t="s">
        <v>159</v>
      </c>
      <c r="D27" s="47">
        <f>D23/D25</f>
        <v>4.4558639859315896</v>
      </c>
      <c r="F27" s="105" t="s">
        <v>282</v>
      </c>
      <c r="G27" s="99" t="str">
        <f t="shared" ref="G27:O27" si="31">IFERROR(G26/G5,"-")</f>
        <v>-</v>
      </c>
      <c r="H27" s="99" t="str">
        <f t="shared" si="31"/>
        <v>-</v>
      </c>
      <c r="I27" s="99" t="str">
        <f t="shared" si="31"/>
        <v>-</v>
      </c>
      <c r="J27" s="99">
        <f t="shared" si="31"/>
        <v>7.4931408326895932E-2</v>
      </c>
      <c r="K27" s="99">
        <f t="shared" si="31"/>
        <v>7.3508122888853139E-2</v>
      </c>
      <c r="L27" s="99">
        <f t="shared" si="31"/>
        <v>0.10087157090730342</v>
      </c>
      <c r="M27" s="99">
        <f t="shared" si="31"/>
        <v>8.6330315978666194E-2</v>
      </c>
      <c r="N27" s="99">
        <f t="shared" si="31"/>
        <v>9.2984318559102858E-2</v>
      </c>
      <c r="O27" s="99">
        <f t="shared" si="31"/>
        <v>0.10327098136838951</v>
      </c>
      <c r="P27" s="99">
        <f>IFERROR(P26/P5,"-")</f>
        <v>8.5784156142365106E-2</v>
      </c>
      <c r="Q27" s="99">
        <f t="shared" ref="Q27:U27" si="32">IFERROR(Q26/Q5,"-")</f>
        <v>9.7031463348279529E-2</v>
      </c>
      <c r="R27" s="99">
        <f t="shared" si="32"/>
        <v>9.9129961327916294E-2</v>
      </c>
      <c r="S27" s="99">
        <f t="shared" si="32"/>
        <v>0.10108520330096557</v>
      </c>
      <c r="T27" s="99">
        <f t="shared" si="32"/>
        <v>0.10290702420510194</v>
      </c>
      <c r="U27" s="99">
        <f t="shared" si="32"/>
        <v>0.1046045836950764</v>
      </c>
      <c r="V27" s="9">
        <f t="shared" ref="V27:Z27" si="33">-V26*V125</f>
        <v>-6849.1265133935131</v>
      </c>
      <c r="W27" s="9">
        <f t="shared" si="33"/>
        <v>-7426.4638443816038</v>
      </c>
      <c r="X27" s="9">
        <f t="shared" si="33"/>
        <v>-8043.5477897604942</v>
      </c>
      <c r="Y27" s="9">
        <f t="shared" si="33"/>
        <v>-8703.1440219654905</v>
      </c>
      <c r="Z27" s="9">
        <f t="shared" si="33"/>
        <v>-9408.2105304312772</v>
      </c>
      <c r="AU27" t="s">
        <v>280</v>
      </c>
    </row>
    <row r="28" spans="2:47">
      <c r="F28" t="s">
        <v>103</v>
      </c>
      <c r="G28" s="9">
        <f>'Statements Input'!E38</f>
        <v>0</v>
      </c>
      <c r="H28" s="9">
        <f>'Statements Input'!F38</f>
        <v>0</v>
      </c>
      <c r="I28" s="9">
        <f>'Statements Input'!G38</f>
        <v>0</v>
      </c>
      <c r="J28" s="9">
        <f>'Statements Input'!H38</f>
        <v>-2262</v>
      </c>
      <c r="K28" s="9">
        <f>'Statements Input'!I38</f>
        <v>-2831</v>
      </c>
      <c r="L28" s="9">
        <f>'Statements Input'!J38</f>
        <v>-4917</v>
      </c>
      <c r="M28" s="9">
        <f>'Statements Input'!K38</f>
        <v>-4210</v>
      </c>
      <c r="N28" s="9">
        <f>'Statements Input'!L38</f>
        <v>-5306</v>
      </c>
      <c r="O28" s="9">
        <f>'Statements Input'!M38</f>
        <v>-5366</v>
      </c>
      <c r="P28" s="9">
        <f>'Statements Input'!N38</f>
        <v>-4160</v>
      </c>
      <c r="Q28" s="29">
        <f>-Q26*Q126</f>
        <v>-4473.9812922606061</v>
      </c>
      <c r="R28" s="9">
        <f>-R26*R126</f>
        <v>-4888.1525187268408</v>
      </c>
      <c r="S28" s="9">
        <f>-S26*S126</f>
        <v>-5330.7170241042613</v>
      </c>
      <c r="T28" s="9">
        <f>-T26*T126</f>
        <v>-5803.6510028672465</v>
      </c>
      <c r="U28" s="9">
        <f>-U26*U126</f>
        <v>-6309.0680688602033</v>
      </c>
      <c r="AU28" t="s">
        <v>281</v>
      </c>
    </row>
    <row r="29" spans="2:47" ht="17" thickBot="1">
      <c r="B29" t="s">
        <v>162</v>
      </c>
      <c r="D29" s="51">
        <f>1/(1+$D$9)^D4</f>
        <v>0.7094985681041639</v>
      </c>
      <c r="Q29" s="19"/>
      <c r="V29" s="56">
        <f t="shared" ref="V29:Z29" si="34">V26+V27</f>
        <v>38811.716909229908</v>
      </c>
      <c r="W29" s="56">
        <f t="shared" si="34"/>
        <v>42083.295118162423</v>
      </c>
      <c r="X29" s="56">
        <f t="shared" si="34"/>
        <v>45580.104141976139</v>
      </c>
      <c r="Y29" s="56">
        <f t="shared" si="34"/>
        <v>49317.816124471115</v>
      </c>
      <c r="Z29" s="56">
        <f t="shared" si="34"/>
        <v>53313.193005777233</v>
      </c>
    </row>
    <row r="30" spans="2:47" ht="18" thickTop="1" thickBot="1">
      <c r="B30" t="s">
        <v>277</v>
      </c>
      <c r="D30" s="9">
        <f>D23*D29</f>
        <v>172152.05113563975</v>
      </c>
      <c r="F30" s="10" t="s">
        <v>104</v>
      </c>
      <c r="G30" s="56">
        <f t="shared" ref="G30:U30" si="35">G26+G28</f>
        <v>0</v>
      </c>
      <c r="H30" s="56">
        <f t="shared" si="35"/>
        <v>0</v>
      </c>
      <c r="I30" s="56">
        <f t="shared" si="35"/>
        <v>0</v>
      </c>
      <c r="J30" s="56">
        <f t="shared" si="35"/>
        <v>14616</v>
      </c>
      <c r="K30" s="56">
        <f t="shared" si="35"/>
        <v>14078</v>
      </c>
      <c r="L30" s="56">
        <f t="shared" si="35"/>
        <v>21760</v>
      </c>
      <c r="M30" s="56">
        <f t="shared" si="35"/>
        <v>20863</v>
      </c>
      <c r="N30" s="56">
        <f t="shared" si="35"/>
        <v>20796</v>
      </c>
      <c r="O30" s="56">
        <f t="shared" si="35"/>
        <v>22553</v>
      </c>
      <c r="P30" s="56">
        <f t="shared" si="35"/>
        <v>20496.940000000002</v>
      </c>
      <c r="Q30" s="57">
        <f t="shared" si="35"/>
        <v>25352.560656143432</v>
      </c>
      <c r="R30" s="56">
        <f t="shared" si="35"/>
        <v>27699.530939452095</v>
      </c>
      <c r="S30" s="56">
        <f t="shared" si="35"/>
        <v>30207.396469924148</v>
      </c>
      <c r="T30" s="56">
        <f t="shared" si="35"/>
        <v>32887.355682914393</v>
      </c>
      <c r="U30" s="56">
        <f t="shared" si="35"/>
        <v>35751.385723541156</v>
      </c>
      <c r="V30" s="21">
        <f t="shared" ref="V30:Z30" si="36">-V21</f>
        <v>0</v>
      </c>
      <c r="W30" s="21">
        <f t="shared" si="36"/>
        <v>0</v>
      </c>
      <c r="X30" s="21">
        <f t="shared" si="36"/>
        <v>0</v>
      </c>
      <c r="Y30" s="21">
        <f t="shared" si="36"/>
        <v>0</v>
      </c>
      <c r="Z30" s="21">
        <f t="shared" si="36"/>
        <v>0</v>
      </c>
    </row>
    <row r="31" spans="2:47" ht="17" thickTop="1">
      <c r="F31" s="1" t="s">
        <v>137</v>
      </c>
      <c r="G31" s="21">
        <f t="shared" ref="G31:U31" si="37">-G21</f>
        <v>0</v>
      </c>
      <c r="H31" s="21">
        <f t="shared" si="37"/>
        <v>0</v>
      </c>
      <c r="I31" s="21">
        <f t="shared" si="37"/>
        <v>0</v>
      </c>
      <c r="J31" s="21">
        <f t="shared" si="37"/>
        <v>0</v>
      </c>
      <c r="K31" s="21">
        <f t="shared" si="37"/>
        <v>0</v>
      </c>
      <c r="L31" s="21">
        <f t="shared" si="37"/>
        <v>0</v>
      </c>
      <c r="M31" s="21">
        <f t="shared" si="37"/>
        <v>0</v>
      </c>
      <c r="N31" s="21">
        <f t="shared" si="37"/>
        <v>0</v>
      </c>
      <c r="O31" s="21">
        <f t="shared" si="37"/>
        <v>0</v>
      </c>
      <c r="P31" s="21">
        <f t="shared" si="37"/>
        <v>0</v>
      </c>
      <c r="Q31" s="33">
        <f t="shared" si="37"/>
        <v>0</v>
      </c>
      <c r="R31" s="21">
        <f t="shared" si="37"/>
        <v>0</v>
      </c>
      <c r="S31" s="21">
        <f t="shared" si="37"/>
        <v>0</v>
      </c>
      <c r="T31" s="21">
        <f t="shared" si="37"/>
        <v>0</v>
      </c>
      <c r="U31" s="21">
        <f t="shared" si="37"/>
        <v>0</v>
      </c>
      <c r="V31" s="9">
        <f t="shared" ref="V31:Z31" si="38">-V22</f>
        <v>9155.2297192190472</v>
      </c>
      <c r="W31" s="9">
        <f t="shared" si="38"/>
        <v>9118.6088003421719</v>
      </c>
      <c r="X31" s="9">
        <f t="shared" si="38"/>
        <v>9082.1343651408024</v>
      </c>
      <c r="Y31" s="9">
        <f t="shared" si="38"/>
        <v>9045.8058276802403</v>
      </c>
      <c r="Z31" s="9">
        <f t="shared" si="38"/>
        <v>9009.6226043695187</v>
      </c>
    </row>
    <row r="32" spans="2:47">
      <c r="B32" s="30" t="s">
        <v>271</v>
      </c>
      <c r="C32" s="30"/>
      <c r="D32" s="30"/>
      <c r="F32" s="1" t="s">
        <v>138</v>
      </c>
      <c r="G32" s="9">
        <f t="shared" ref="G32:U32" si="39">-G22</f>
        <v>0</v>
      </c>
      <c r="H32" s="9">
        <f t="shared" si="39"/>
        <v>0</v>
      </c>
      <c r="I32" s="9">
        <f t="shared" si="39"/>
        <v>0</v>
      </c>
      <c r="J32" s="9">
        <f t="shared" si="39"/>
        <v>6223</v>
      </c>
      <c r="K32" s="9">
        <f t="shared" si="39"/>
        <v>6740</v>
      </c>
      <c r="L32" s="9">
        <f t="shared" si="39"/>
        <v>6899</v>
      </c>
      <c r="M32" s="9">
        <f t="shared" si="39"/>
        <v>7542</v>
      </c>
      <c r="N32" s="9">
        <f t="shared" si="39"/>
        <v>7854</v>
      </c>
      <c r="O32" s="9">
        <f t="shared" si="39"/>
        <v>8878</v>
      </c>
      <c r="P32" s="9">
        <f t="shared" si="39"/>
        <v>9597</v>
      </c>
      <c r="Q32" s="29">
        <f t="shared" si="39"/>
        <v>9339.3003442487916</v>
      </c>
      <c r="R32" s="9">
        <f t="shared" si="39"/>
        <v>9302.0778380152406</v>
      </c>
      <c r="S32" s="9">
        <f t="shared" si="39"/>
        <v>9265.0036849686785</v>
      </c>
      <c r="T32" s="9">
        <f t="shared" si="39"/>
        <v>9228.0772938359642</v>
      </c>
      <c r="U32" s="9">
        <f t="shared" si="39"/>
        <v>9191.2980757005262</v>
      </c>
      <c r="V32" s="9">
        <f t="shared" ref="V32:Z32" si="40">-V23</f>
        <v>3419.3159285026659</v>
      </c>
      <c r="W32" s="9">
        <f t="shared" si="40"/>
        <v>3651.145548455147</v>
      </c>
      <c r="X32" s="9">
        <f t="shared" si="40"/>
        <v>3898.6932166404058</v>
      </c>
      <c r="Y32" s="9">
        <f t="shared" si="40"/>
        <v>4163.024616728625</v>
      </c>
      <c r="Z32" s="9">
        <f t="shared" si="40"/>
        <v>4445.2776857428262</v>
      </c>
    </row>
    <row r="33" spans="2:26">
      <c r="B33" t="s">
        <v>272</v>
      </c>
      <c r="D33" t="s">
        <v>99</v>
      </c>
      <c r="F33" s="1" t="s">
        <v>140</v>
      </c>
      <c r="G33" s="9">
        <f t="shared" ref="G33:U33" si="41">-G23</f>
        <v>0</v>
      </c>
      <c r="H33" s="9">
        <f t="shared" si="41"/>
        <v>0</v>
      </c>
      <c r="I33" s="9">
        <f t="shared" si="41"/>
        <v>0</v>
      </c>
      <c r="J33" s="9">
        <f t="shared" si="41"/>
        <v>1598</v>
      </c>
      <c r="K33" s="9">
        <f t="shared" si="41"/>
        <v>1719</v>
      </c>
      <c r="L33" s="9">
        <f t="shared" si="41"/>
        <v>1475</v>
      </c>
      <c r="M33" s="9">
        <f t="shared" si="41"/>
        <v>1498</v>
      </c>
      <c r="N33" s="9">
        <f t="shared" si="41"/>
        <v>1720</v>
      </c>
      <c r="O33" s="9">
        <f t="shared" si="41"/>
        <v>1879</v>
      </c>
      <c r="P33" s="9">
        <f t="shared" si="41"/>
        <v>2224</v>
      </c>
      <c r="Q33" s="29">
        <f t="shared" si="41"/>
        <v>2463.1442030705366</v>
      </c>
      <c r="R33" s="9">
        <f t="shared" si="41"/>
        <v>2630.1270395099873</v>
      </c>
      <c r="S33" s="9">
        <f t="shared" si="41"/>
        <v>2808.4300689087481</v>
      </c>
      <c r="T33" s="9">
        <f t="shared" si="41"/>
        <v>2998.8207160595002</v>
      </c>
      <c r="U33" s="9">
        <f t="shared" si="41"/>
        <v>3202.1184314416391</v>
      </c>
      <c r="V33" s="9"/>
      <c r="W33" s="9"/>
      <c r="X33" s="9"/>
      <c r="Y33" s="9"/>
      <c r="Z33" s="9"/>
    </row>
    <row r="34" spans="2:26">
      <c r="B34" t="s">
        <v>273</v>
      </c>
      <c r="D34" s="9" cm="1">
        <f t="array" ref="D34">INDEX(Q18:Z18, 1, D4)</f>
        <v>54453.870299543523</v>
      </c>
      <c r="F34" s="1"/>
      <c r="G34" s="9"/>
      <c r="H34" s="9"/>
      <c r="I34" s="9"/>
      <c r="J34" s="9"/>
      <c r="K34" s="9"/>
      <c r="L34" s="9"/>
      <c r="M34" s="9"/>
      <c r="N34" s="9"/>
      <c r="O34" s="9"/>
      <c r="P34" s="9"/>
      <c r="Q34" s="29"/>
      <c r="R34" s="9"/>
      <c r="S34" s="9"/>
      <c r="T34" s="9"/>
      <c r="U34" s="9"/>
      <c r="V34" s="9">
        <f>V56</f>
        <v>-3419.3159285026659</v>
      </c>
      <c r="W34" s="9">
        <f>W56</f>
        <v>-3651.145548455147</v>
      </c>
      <c r="X34" s="9">
        <f>X56</f>
        <v>-3898.6932166404058</v>
      </c>
      <c r="Y34" s="9">
        <f>Y56</f>
        <v>-4163.024616728625</v>
      </c>
      <c r="Z34" s="9">
        <f>Z56</f>
        <v>-4445.2776857428262</v>
      </c>
    </row>
    <row r="35" spans="2:26">
      <c r="F35" s="1" t="s">
        <v>108</v>
      </c>
      <c r="G35" s="9">
        <f>'Statements Input'!E79</f>
        <v>0</v>
      </c>
      <c r="H35" s="9">
        <f>'Statements Input'!F79</f>
        <v>0</v>
      </c>
      <c r="I35" s="9">
        <f>'Statements Input'!G79</f>
        <v>0</v>
      </c>
      <c r="J35" s="9">
        <f>'Statements Input'!H79</f>
        <v>-2648</v>
      </c>
      <c r="K35" s="9">
        <f>'Statements Input'!I79</f>
        <v>-804</v>
      </c>
      <c r="L35" s="9">
        <f>'Statements Input'!J79</f>
        <v>-2132</v>
      </c>
      <c r="M35" s="9">
        <f>'Statements Input'!K79</f>
        <v>-3285</v>
      </c>
      <c r="N35" s="9">
        <f>'Statements Input'!L79</f>
        <v>-2175</v>
      </c>
      <c r="O35" s="9">
        <f>'Statements Input'!M79</f>
        <v>-2925</v>
      </c>
      <c r="P35" s="9">
        <f>'Statements Input'!N79</f>
        <v>-2839</v>
      </c>
      <c r="Q35" s="29">
        <f>Q57</f>
        <v>-2463.1442030705366</v>
      </c>
      <c r="R35" s="9">
        <f>R57</f>
        <v>-2630.1270395099873</v>
      </c>
      <c r="S35" s="9">
        <f>S57</f>
        <v>-2808.4300689087481</v>
      </c>
      <c r="T35" s="9">
        <f>T57</f>
        <v>-2998.8207160595002</v>
      </c>
      <c r="U35" s="9">
        <f>U57</f>
        <v>-3202.1184314416391</v>
      </c>
      <c r="V35" s="9">
        <f>-V142*U5</f>
        <v>-20104.498439097122</v>
      </c>
      <c r="W35" s="9">
        <f>-W142*V5</f>
        <v>-21500.644164034424</v>
      </c>
      <c r="X35" s="9">
        <f>-X142*W5</f>
        <v>-22993.744453203479</v>
      </c>
      <c r="Y35" s="9">
        <f>-Y142*X5</f>
        <v>-24590.532262453722</v>
      </c>
      <c r="Z35" s="9">
        <f>-Z142*Y5</f>
        <v>-26298.208114013007</v>
      </c>
    </row>
    <row r="36" spans="2:26">
      <c r="B36" s="40" t="s">
        <v>274</v>
      </c>
      <c r="C36" s="40"/>
      <c r="D36" s="40"/>
      <c r="F36" s="1" t="s">
        <v>107</v>
      </c>
      <c r="G36" s="9">
        <f>'Statements Input'!E82</f>
        <v>0</v>
      </c>
      <c r="H36" s="9">
        <f>'Statements Input'!F82</f>
        <v>0</v>
      </c>
      <c r="I36" s="9">
        <f>'Statements Input'!G82</f>
        <v>0</v>
      </c>
      <c r="J36" s="9">
        <f>'Statements Input'!H82</f>
        <v>-6162</v>
      </c>
      <c r="K36" s="9">
        <f>'Statements Input'!I82</f>
        <v>-2661</v>
      </c>
      <c r="L36" s="9">
        <f>'Statements Input'!J82</f>
        <v>-12238</v>
      </c>
      <c r="M36" s="9">
        <f>'Statements Input'!K82</f>
        <v>-8655</v>
      </c>
      <c r="N36" s="9">
        <f>'Statements Input'!L82</f>
        <v>-14466</v>
      </c>
      <c r="O36" s="9">
        <f>'Statements Input'!M82</f>
        <v>-10600</v>
      </c>
      <c r="P36" s="9">
        <f>'Statements Input'!N82</f>
        <v>-17670</v>
      </c>
      <c r="Q36" s="29">
        <f>-Q160</f>
        <v>-14371.5</v>
      </c>
      <c r="R36" s="29">
        <f t="shared" ref="R36:U36" si="42">-R160</f>
        <v>-15369.520833333336</v>
      </c>
      <c r="S36" s="29">
        <f t="shared" si="42"/>
        <v>-16436.848668981485</v>
      </c>
      <c r="T36" s="29">
        <f t="shared" si="42"/>
        <v>-17578.296493216309</v>
      </c>
      <c r="U36" s="29">
        <f t="shared" si="42"/>
        <v>-18799.011527467443</v>
      </c>
      <c r="V36" s="9">
        <f t="shared" ref="V36:Z36" si="43">V69</f>
        <v>-9155.2297192190472</v>
      </c>
      <c r="W36" s="9">
        <f t="shared" si="43"/>
        <v>-9118.6088003421719</v>
      </c>
      <c r="X36" s="9">
        <f t="shared" si="43"/>
        <v>-9082.1343651408024</v>
      </c>
      <c r="Y36" s="9">
        <f t="shared" si="43"/>
        <v>-9045.8058276802403</v>
      </c>
      <c r="Z36" s="9">
        <f t="shared" si="43"/>
        <v>-9009.6226043695187</v>
      </c>
    </row>
    <row r="37" spans="2:26">
      <c r="B37" s="1" t="s">
        <v>298</v>
      </c>
      <c r="D37" s="79">
        <v>6.5</v>
      </c>
      <c r="F37" s="1" t="s">
        <v>141</v>
      </c>
      <c r="G37" s="9">
        <f t="shared" ref="G37:U37" si="44">G70</f>
        <v>0</v>
      </c>
      <c r="H37" s="9">
        <f t="shared" si="44"/>
        <v>0</v>
      </c>
      <c r="I37" s="9">
        <f t="shared" si="44"/>
        <v>0</v>
      </c>
      <c r="J37" s="9">
        <f t="shared" si="44"/>
        <v>-6223</v>
      </c>
      <c r="K37" s="9">
        <f t="shared" si="44"/>
        <v>-6740</v>
      </c>
      <c r="L37" s="9">
        <f t="shared" si="44"/>
        <v>-6899</v>
      </c>
      <c r="M37" s="9">
        <f t="shared" si="44"/>
        <v>-7542</v>
      </c>
      <c r="N37" s="9">
        <f t="shared" si="44"/>
        <v>-7854</v>
      </c>
      <c r="O37" s="9">
        <f t="shared" si="44"/>
        <v>-8878</v>
      </c>
      <c r="P37" s="9">
        <f t="shared" si="44"/>
        <v>-9597</v>
      </c>
      <c r="Q37" s="29">
        <f t="shared" si="44"/>
        <v>-9339.3003442487916</v>
      </c>
      <c r="R37" s="9">
        <f t="shared" si="44"/>
        <v>-9302.0778380152406</v>
      </c>
      <c r="S37" s="9">
        <f t="shared" si="44"/>
        <v>-9265.0036849686785</v>
      </c>
      <c r="T37" s="9">
        <f t="shared" si="44"/>
        <v>-9228.0772938359642</v>
      </c>
      <c r="U37" s="9">
        <f t="shared" si="44"/>
        <v>-9191.2980757005262</v>
      </c>
      <c r="V37" s="9"/>
      <c r="W37" s="9"/>
      <c r="X37" s="9"/>
      <c r="Y37" s="9"/>
      <c r="Z37" s="9"/>
    </row>
    <row r="38" spans="2:26">
      <c r="B38" s="1" t="s">
        <v>283</v>
      </c>
      <c r="D38" s="79">
        <v>6</v>
      </c>
      <c r="F38" s="1"/>
      <c r="G38" s="9"/>
      <c r="H38" s="9"/>
      <c r="I38" s="9"/>
      <c r="J38" s="9"/>
      <c r="K38" s="9"/>
      <c r="L38" s="9"/>
      <c r="M38" s="9"/>
      <c r="N38" s="9"/>
      <c r="O38" s="9"/>
      <c r="P38" s="9"/>
      <c r="Q38" s="29"/>
      <c r="R38" s="9"/>
      <c r="S38" s="9"/>
      <c r="T38" s="9"/>
      <c r="U38" s="9"/>
      <c r="V38" s="9">
        <f>-V98</f>
        <v>25090.684588138258</v>
      </c>
      <c r="W38" s="9">
        <f>-W98</f>
        <v>4032.265525620895</v>
      </c>
      <c r="X38" s="9">
        <f>-X98</f>
        <v>4301.4345573194705</v>
      </c>
      <c r="Y38" s="9">
        <f>-Y98</f>
        <v>4588.5424518039626</v>
      </c>
      <c r="Z38" s="9">
        <f>-Z98</f>
        <v>4894.7826418317318</v>
      </c>
    </row>
    <row r="39" spans="2:26">
      <c r="B39" s="1" t="s">
        <v>284</v>
      </c>
      <c r="D39" s="79">
        <v>6</v>
      </c>
      <c r="F39" s="1" t="s">
        <v>105</v>
      </c>
      <c r="G39" s="9">
        <f t="shared" ref="G39:U39" si="45">-G99</f>
        <v>0</v>
      </c>
      <c r="H39" s="9">
        <f t="shared" si="45"/>
        <v>0</v>
      </c>
      <c r="I39" s="9">
        <f t="shared" si="45"/>
        <v>0</v>
      </c>
      <c r="J39" s="9">
        <f t="shared" si="45"/>
        <v>24444</v>
      </c>
      <c r="K39" s="9">
        <f t="shared" si="45"/>
        <v>-1648</v>
      </c>
      <c r="L39" s="9">
        <f t="shared" si="45"/>
        <v>1434</v>
      </c>
      <c r="M39" s="9">
        <f t="shared" si="45"/>
        <v>10174</v>
      </c>
      <c r="N39" s="9">
        <f t="shared" si="45"/>
        <v>-4989</v>
      </c>
      <c r="O39" s="9">
        <f t="shared" si="45"/>
        <v>1665</v>
      </c>
      <c r="P39" s="9">
        <f t="shared" si="45"/>
        <v>1202</v>
      </c>
      <c r="Q39" s="29">
        <f t="shared" si="45"/>
        <v>-1156.503766508336</v>
      </c>
      <c r="R39" s="9">
        <f t="shared" si="45"/>
        <v>1033.5686853782968</v>
      </c>
      <c r="S39" s="9">
        <f t="shared" si="45"/>
        <v>1035.0546526198389</v>
      </c>
      <c r="T39" s="9">
        <f t="shared" si="45"/>
        <v>1023.724160126513</v>
      </c>
      <c r="U39" s="9">
        <f t="shared" si="45"/>
        <v>1005.8284051118144</v>
      </c>
    </row>
    <row r="40" spans="2:26" ht="17" thickBot="1">
      <c r="Q40" s="19"/>
      <c r="V40" s="57">
        <f t="shared" ref="V40:Z40" si="46">IF(V42&lt;=$D$4,V29+V32+V31+V30+V34+V35+V36-V38,0)</f>
        <v>0</v>
      </c>
      <c r="W40" s="57">
        <f t="shared" si="46"/>
        <v>0</v>
      </c>
      <c r="X40" s="57">
        <f t="shared" si="46"/>
        <v>0</v>
      </c>
      <c r="Y40" s="57">
        <f t="shared" si="46"/>
        <v>0</v>
      </c>
      <c r="Z40" s="57">
        <f t="shared" si="46"/>
        <v>0</v>
      </c>
    </row>
    <row r="41" spans="2:26" ht="18" thickTop="1" thickBot="1">
      <c r="B41" t="s">
        <v>276</v>
      </c>
      <c r="D41" s="9">
        <f>D34*(INDEX($D37:$D39, MATCH($D$6,$B37:$B39,0)))</f>
        <v>326723.22179726115</v>
      </c>
      <c r="F41" s="10" t="s">
        <v>106</v>
      </c>
      <c r="G41" s="56">
        <f t="shared" ref="G41:P41" si="47">G30+G33+G32+G31+G35+G36+G37-G39</f>
        <v>0</v>
      </c>
      <c r="H41" s="56">
        <f t="shared" si="47"/>
        <v>0</v>
      </c>
      <c r="I41" s="56">
        <f t="shared" si="47"/>
        <v>0</v>
      </c>
      <c r="J41" s="56">
        <f t="shared" si="47"/>
        <v>-17040</v>
      </c>
      <c r="K41" s="56">
        <f t="shared" si="47"/>
        <v>13980</v>
      </c>
      <c r="L41" s="56">
        <f t="shared" si="47"/>
        <v>7431</v>
      </c>
      <c r="M41" s="56">
        <f t="shared" si="47"/>
        <v>247</v>
      </c>
      <c r="N41" s="56">
        <f t="shared" si="47"/>
        <v>10864</v>
      </c>
      <c r="O41" s="56">
        <f t="shared" si="47"/>
        <v>9242</v>
      </c>
      <c r="P41" s="56">
        <f t="shared" si="47"/>
        <v>1009.9400000000023</v>
      </c>
      <c r="Q41" s="57">
        <f>IF(Q43&lt;=$D$4,Q30+Q33+Q32+Q31+Q35+Q36+Q37-Q39,0)</f>
        <v>12137.564422651767</v>
      </c>
      <c r="R41" s="57">
        <f t="shared" ref="R41:U41" si="48">IF(R43&lt;=$D$4,R30+R33+R32+R31+R35+R36+R37-R39,0)</f>
        <v>11296.441420740462</v>
      </c>
      <c r="S41" s="57">
        <f t="shared" si="48"/>
        <v>12735.493148322825</v>
      </c>
      <c r="T41" s="57">
        <f t="shared" si="48"/>
        <v>14285.335029571574</v>
      </c>
      <c r="U41" s="57">
        <f t="shared" si="48"/>
        <v>15946.545790961904</v>
      </c>
      <c r="V41" s="21"/>
      <c r="W41" s="21"/>
      <c r="X41" s="21"/>
      <c r="Y41" s="21"/>
      <c r="Z41" s="21"/>
    </row>
    <row r="42" spans="2:26" ht="17" thickTop="1">
      <c r="F42" s="10"/>
      <c r="G42" s="21"/>
      <c r="H42" s="21"/>
      <c r="I42" s="21"/>
      <c r="J42" s="21"/>
      <c r="K42" s="21"/>
      <c r="L42" s="21"/>
      <c r="M42" s="21"/>
      <c r="N42" s="21"/>
      <c r="O42" s="21"/>
      <c r="P42" s="21"/>
      <c r="Q42" s="33"/>
      <c r="R42" s="21"/>
      <c r="S42" s="21"/>
      <c r="T42" s="21"/>
      <c r="U42" s="21"/>
      <c r="V42" s="49">
        <v>6</v>
      </c>
      <c r="W42" s="49">
        <v>7</v>
      </c>
      <c r="X42" s="49">
        <v>8</v>
      </c>
      <c r="Y42" s="49">
        <v>9</v>
      </c>
      <c r="Z42" s="49">
        <v>10</v>
      </c>
    </row>
    <row r="43" spans="2:26">
      <c r="B43" t="s">
        <v>275</v>
      </c>
      <c r="D43" s="22" cm="1">
        <f t="array" ref="D43">((D41*D9)-INDEX(Q40:Z40,1,D4))/(D41+D15)</f>
        <v>6.7743485565519013E-2</v>
      </c>
      <c r="F43" t="s">
        <v>163</v>
      </c>
      <c r="G43" s="21"/>
      <c r="H43" s="21"/>
      <c r="I43" s="21"/>
      <c r="J43" s="21"/>
      <c r="K43" s="21"/>
      <c r="L43" s="21"/>
      <c r="M43" s="21"/>
      <c r="N43" s="21"/>
      <c r="O43" s="21"/>
      <c r="P43" s="21"/>
      <c r="Q43" s="48">
        <v>1</v>
      </c>
      <c r="R43" s="49">
        <v>2</v>
      </c>
      <c r="S43" s="49">
        <v>3</v>
      </c>
      <c r="T43" s="49">
        <v>4</v>
      </c>
      <c r="U43" s="49">
        <v>5</v>
      </c>
      <c r="V43" s="9"/>
      <c r="W43" s="9"/>
      <c r="X43" s="9"/>
      <c r="Y43" s="9"/>
      <c r="Z43" s="9"/>
    </row>
    <row r="44" spans="2:26">
      <c r="D44" s="22"/>
      <c r="G44" s="21"/>
      <c r="H44" s="21"/>
      <c r="I44" s="21"/>
      <c r="J44" s="21"/>
      <c r="K44" s="21"/>
      <c r="L44" s="21"/>
      <c r="M44" s="21"/>
      <c r="N44" s="21"/>
      <c r="O44" s="21"/>
      <c r="P44" s="21"/>
      <c r="Q44" s="29"/>
      <c r="R44" s="9"/>
      <c r="S44" s="9"/>
      <c r="T44" s="9"/>
      <c r="U44" s="9"/>
      <c r="V44" s="51">
        <f>1/(1+$D$9)^V42</f>
        <v>0.6624327997063868</v>
      </c>
      <c r="W44" s="51">
        <f>1/(1+$D$9)^W42</f>
        <v>0.61848921739108831</v>
      </c>
      <c r="X44" s="51">
        <f>1/(1+$D$9)^X42</f>
        <v>0.5774607057479505</v>
      </c>
      <c r="Y44" s="51">
        <f>1/(1+$D$9)^Y42</f>
        <v>0.53915388871212011</v>
      </c>
      <c r="Z44" s="51">
        <f>1/(1+$D$9)^Z42</f>
        <v>0.50338821814185897</v>
      </c>
    </row>
    <row r="45" spans="2:26">
      <c r="B45" t="s">
        <v>162</v>
      </c>
      <c r="D45" s="51">
        <f>1/(1+$D$9)^D4</f>
        <v>0.7094985681041639</v>
      </c>
      <c r="F45" t="s">
        <v>162</v>
      </c>
      <c r="G45" s="21"/>
      <c r="H45" s="21"/>
      <c r="I45" s="21"/>
      <c r="J45" s="21"/>
      <c r="K45" s="21"/>
      <c r="L45" s="21"/>
      <c r="M45" s="21"/>
      <c r="N45" s="21"/>
      <c r="O45" s="21"/>
      <c r="P45" s="21"/>
      <c r="Q45" s="50">
        <f>1/(1+$D$9)^Q43</f>
        <v>0.93366333560962578</v>
      </c>
      <c r="R45" s="51">
        <f>1/(1+$D$9)^R43</f>
        <v>0.87172722426169269</v>
      </c>
      <c r="S45" s="51">
        <f>1/(1+$D$9)^S43</f>
        <v>0.81389974794589226</v>
      </c>
      <c r="T45" s="51">
        <f>1/(1+$D$9)^T43</f>
        <v>0.75990835351899533</v>
      </c>
      <c r="U45" s="51">
        <f>1/(1+$D$9)^U43</f>
        <v>0.7094985681041639</v>
      </c>
      <c r="V45" s="51"/>
      <c r="W45" s="51"/>
      <c r="X45" s="51"/>
      <c r="Y45" s="51"/>
      <c r="Z45" s="51"/>
    </row>
    <row r="46" spans="2:26">
      <c r="B46" t="s">
        <v>278</v>
      </c>
      <c r="D46" s="9">
        <f>D41*D45</f>
        <v>231809.65803153595</v>
      </c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50"/>
      <c r="R46" s="51"/>
      <c r="S46" s="51"/>
      <c r="T46" s="51"/>
      <c r="U46" s="51"/>
      <c r="V46" s="9" t="str">
        <f t="shared" ref="V46:Z46" si="49">IF(V42&lt;=$D$4,V40*V44,"-")</f>
        <v>-</v>
      </c>
      <c r="W46" s="9" t="str">
        <f t="shared" si="49"/>
        <v>-</v>
      </c>
      <c r="X46" s="9" t="str">
        <f t="shared" si="49"/>
        <v>-</v>
      </c>
      <c r="Y46" s="9" t="str">
        <f t="shared" si="49"/>
        <v>-</v>
      </c>
      <c r="Z46" s="9" t="str">
        <f t="shared" si="49"/>
        <v>-</v>
      </c>
    </row>
    <row r="47" spans="2:26">
      <c r="F47" t="s">
        <v>164</v>
      </c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9">
        <f>IF(Q43&lt;=$D$4,Q41*Q45,"-")</f>
        <v>11332.39888502977</v>
      </c>
      <c r="R47" s="9">
        <f>IF(R43&lt;=$D$4,R41*R45,"-")</f>
        <v>9847.4155237368959</v>
      </c>
      <c r="S47" s="9">
        <f t="shared" ref="S47:U47" si="50">IF(S43&lt;=$D$4,S41*S45,"-")</f>
        <v>10365.414663386586</v>
      </c>
      <c r="T47" s="9">
        <f t="shared" si="50"/>
        <v>10855.545421788964</v>
      </c>
      <c r="U47" s="9">
        <f t="shared" si="50"/>
        <v>11314.051404894952</v>
      </c>
      <c r="V47" s="9"/>
      <c r="W47" s="9"/>
      <c r="X47" s="9"/>
      <c r="Y47" s="9"/>
      <c r="Z47" s="9"/>
    </row>
    <row r="48" spans="2:26">
      <c r="B48" s="30" t="s">
        <v>165</v>
      </c>
      <c r="C48" s="30"/>
      <c r="D48" s="30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9"/>
      <c r="R48" s="9"/>
      <c r="S48" s="9"/>
      <c r="T48" s="9"/>
      <c r="U48" s="9"/>
      <c r="V48" s="39">
        <f>U49+1</f>
        <v>2031</v>
      </c>
      <c r="W48" s="39">
        <f>V48+1</f>
        <v>2032</v>
      </c>
      <c r="X48" s="39">
        <f>W48+1</f>
        <v>2033</v>
      </c>
      <c r="Y48" s="39">
        <f>X48+1</f>
        <v>2034</v>
      </c>
      <c r="Z48" s="39">
        <f>Y48+1</f>
        <v>2035</v>
      </c>
    </row>
    <row r="49" spans="2:26">
      <c r="B49" t="s">
        <v>166</v>
      </c>
      <c r="D49" s="9">
        <f>SUM(Q47:Z47)</f>
        <v>53714.825898837167</v>
      </c>
      <c r="F49" s="11" t="s">
        <v>119</v>
      </c>
      <c r="G49" s="18">
        <f>'Statements Input'!E11</f>
        <v>2016</v>
      </c>
      <c r="H49" s="18">
        <f>'Statements Input'!F11</f>
        <v>2017</v>
      </c>
      <c r="I49" s="18">
        <f>'Statements Input'!G11</f>
        <v>2018</v>
      </c>
      <c r="J49" s="18">
        <f>'Statements Input'!H11</f>
        <v>2019</v>
      </c>
      <c r="K49" s="18">
        <f>'Statements Input'!I11</f>
        <v>2020</v>
      </c>
      <c r="L49" s="18">
        <f>'Statements Input'!J11</f>
        <v>2021</v>
      </c>
      <c r="M49" s="18">
        <f>'Statements Input'!K11</f>
        <v>2022</v>
      </c>
      <c r="N49" s="18">
        <f>'Statements Input'!L11</f>
        <v>2023</v>
      </c>
      <c r="O49" s="18">
        <f>'Statements Input'!M11</f>
        <v>2024</v>
      </c>
      <c r="P49" s="18">
        <f>'Statements Input'!N11</f>
        <v>2025</v>
      </c>
      <c r="Q49" s="38">
        <f>P49+1</f>
        <v>2026</v>
      </c>
      <c r="R49" s="39">
        <f>Q49+1</f>
        <v>2027</v>
      </c>
      <c r="S49" s="39">
        <f>R49+1</f>
        <v>2028</v>
      </c>
      <c r="T49" s="39">
        <f>S49+1</f>
        <v>2029</v>
      </c>
      <c r="U49" s="39">
        <f>T49+1</f>
        <v>2030</v>
      </c>
      <c r="V49" s="9">
        <f>U60</f>
        <v>15577.749104795745</v>
      </c>
      <c r="W49" s="9">
        <f>V59</f>
        <v>16633.920494100897</v>
      </c>
      <c r="X49" s="9">
        <f>W59</f>
        <v>17761.700303600937</v>
      </c>
      <c r="Y49" s="9">
        <f>X59</f>
        <v>18965.943584185079</v>
      </c>
      <c r="Z49" s="9">
        <f>Y59</f>
        <v>20251.83455919283</v>
      </c>
    </row>
    <row r="50" spans="2:26">
      <c r="B50" t="s">
        <v>167</v>
      </c>
      <c r="D50" s="9">
        <f>IF(D5="Exit",D46,D30)</f>
        <v>231809.65803153595</v>
      </c>
      <c r="F50" t="s">
        <v>117</v>
      </c>
      <c r="G50" s="9">
        <f>'Statements Input'!D100</f>
        <v>0</v>
      </c>
      <c r="H50" s="9">
        <f>'Statements Input'!E100</f>
        <v>0</v>
      </c>
      <c r="I50" s="9">
        <f>'Statements Input'!F100</f>
        <v>0</v>
      </c>
      <c r="J50" s="9">
        <f>'Statements Input'!G100</f>
        <v>0</v>
      </c>
      <c r="K50" s="9">
        <f>'Statements Input'!H100</f>
        <v>9621</v>
      </c>
      <c r="L50" s="9">
        <f>'Statements Input'!I100</f>
        <v>8640</v>
      </c>
      <c r="M50" s="9">
        <f>'Statements Input'!J100</f>
        <v>6101</v>
      </c>
      <c r="N50" s="9">
        <f>'Statements Input'!K100</f>
        <v>7863</v>
      </c>
      <c r="O50" s="9">
        <f>'Statements Input'!L100</f>
        <v>9210</v>
      </c>
      <c r="P50" s="9">
        <f>'Statements Input'!M100</f>
        <v>10607</v>
      </c>
      <c r="Q50" s="29">
        <f>P60</f>
        <v>11222</v>
      </c>
      <c r="R50" s="9">
        <f>Q60</f>
        <v>11982.768041183926</v>
      </c>
      <c r="S50" s="9">
        <f>R60</f>
        <v>12795.110490894571</v>
      </c>
      <c r="T50" s="9">
        <f>S60</f>
        <v>13662.523710007898</v>
      </c>
      <c r="U50" s="9">
        <f>T60</f>
        <v>14588.741086633421</v>
      </c>
      <c r="V50" s="9"/>
      <c r="W50" s="9"/>
      <c r="X50" s="9"/>
      <c r="Y50" s="9"/>
      <c r="Z50" s="9"/>
    </row>
    <row r="51" spans="2:26">
      <c r="B51" s="10" t="s">
        <v>168</v>
      </c>
      <c r="D51" s="9">
        <f>SUM(D49:D50)</f>
        <v>285524.4839303731</v>
      </c>
      <c r="G51" s="9"/>
      <c r="H51" s="9"/>
      <c r="I51" s="9"/>
      <c r="J51" s="9"/>
      <c r="K51" s="9"/>
      <c r="L51" s="9"/>
      <c r="M51" s="9"/>
      <c r="N51" s="9"/>
      <c r="O51" s="9"/>
      <c r="P51" s="9"/>
      <c r="Q51" s="29"/>
      <c r="R51" s="9"/>
      <c r="S51" s="9"/>
      <c r="T51" s="9"/>
      <c r="U51" s="9"/>
      <c r="V51" s="9">
        <f t="shared" ref="R51:Z52" si="51">V49*V52</f>
        <v>4475.4873178078178</v>
      </c>
      <c r="W51" s="9">
        <f t="shared" si="51"/>
        <v>4778.9253579551878</v>
      </c>
      <c r="X51" s="9">
        <f t="shared" si="51"/>
        <v>5102.9364972245494</v>
      </c>
      <c r="Y51" s="9">
        <f t="shared" si="51"/>
        <v>5448.9155917363732</v>
      </c>
      <c r="Z51" s="9">
        <f t="shared" si="51"/>
        <v>5818.3520688561002</v>
      </c>
    </row>
    <row r="52" spans="2:26">
      <c r="B52" t="s">
        <v>169</v>
      </c>
      <c r="D52" s="9">
        <f>'Statements Input'!N90</f>
        <v>13528</v>
      </c>
      <c r="F52" s="1" t="s">
        <v>126</v>
      </c>
      <c r="G52" s="9">
        <f t="shared" ref="G52:P52" si="52">-G35</f>
        <v>0</v>
      </c>
      <c r="H52" s="9">
        <f t="shared" si="52"/>
        <v>0</v>
      </c>
      <c r="I52" s="9">
        <f t="shared" si="52"/>
        <v>0</v>
      </c>
      <c r="J52" s="9">
        <f t="shared" si="52"/>
        <v>2648</v>
      </c>
      <c r="K52" s="9">
        <f t="shared" si="52"/>
        <v>804</v>
      </c>
      <c r="L52" s="9">
        <f t="shared" si="52"/>
        <v>2132</v>
      </c>
      <c r="M52" s="9">
        <f t="shared" si="52"/>
        <v>3285</v>
      </c>
      <c r="N52" s="9">
        <f t="shared" si="52"/>
        <v>2175</v>
      </c>
      <c r="O52" s="9">
        <f t="shared" si="52"/>
        <v>2925</v>
      </c>
      <c r="P52" s="9">
        <f t="shared" si="52"/>
        <v>2839</v>
      </c>
      <c r="Q52" s="29">
        <f>Q50*Q53</f>
        <v>3223.9122442544631</v>
      </c>
      <c r="R52" s="9">
        <f t="shared" si="51"/>
        <v>3442.4694892206317</v>
      </c>
      <c r="S52" s="9">
        <f t="shared" si="51"/>
        <v>3675.8432880220762</v>
      </c>
      <c r="T52" s="9">
        <f t="shared" si="51"/>
        <v>3925.0380926850266</v>
      </c>
      <c r="U52" s="9">
        <f t="shared" si="51"/>
        <v>4191.1264496039603</v>
      </c>
      <c r="V52" s="99" cm="1">
        <f t="array" ref="V52">INDEX($Q$136:$Z$138, MATCH($D$6,$F$137:$F$139,0), (COLUMN()-COLUMN($Q$52)+1))</f>
        <v>0.2873</v>
      </c>
      <c r="W52" s="99" cm="1">
        <f t="array" ref="W52">INDEX($Q$136:$Z$138, MATCH($D$6,$F$137:$F$139,0), (COLUMN()-COLUMN($Q$52)+1))</f>
        <v>0.2873</v>
      </c>
      <c r="X52" s="99" cm="1">
        <f t="array" ref="X52">INDEX($Q$136:$Z$138, MATCH($D$6,$F$137:$F$139,0), (COLUMN()-COLUMN($Q$52)+1))</f>
        <v>0.2873</v>
      </c>
      <c r="Y52" s="99" cm="1">
        <f t="array" ref="Y52">INDEX($Q$136:$Z$138, MATCH($D$6,$F$137:$F$139,0), (COLUMN()-COLUMN($Q$52)+1))</f>
        <v>0.2873</v>
      </c>
      <c r="Z52" s="99" cm="1">
        <f t="array" ref="Z52">INDEX($Q$136:$Z$138, MATCH($D$6,$F$137:$F$139,0), (COLUMN()-COLUMN($Q$52)+1))</f>
        <v>0.2873</v>
      </c>
    </row>
    <row r="53" spans="2:26">
      <c r="B53" t="s">
        <v>170</v>
      </c>
      <c r="D53" s="9">
        <f>'Statements Input'!N91</f>
        <v>0</v>
      </c>
      <c r="F53" s="96" t="s">
        <v>286</v>
      </c>
      <c r="G53" s="101"/>
      <c r="H53" s="101"/>
      <c r="I53" s="101"/>
      <c r="J53" s="101"/>
      <c r="K53" s="101"/>
      <c r="L53" s="101"/>
      <c r="M53" s="101"/>
      <c r="N53" s="101"/>
      <c r="O53" s="101"/>
      <c r="P53" s="101"/>
      <c r="Q53" s="98" cm="1">
        <f t="array" ref="Q53">INDEX($Q$136:$Z$138, MATCH($D$6,$F$137:$F$139,0), (COLUMN()-COLUMN($Q$52)+1))</f>
        <v>0.2872849977057978</v>
      </c>
      <c r="R53" s="99" cm="1">
        <f t="array" ref="R53">INDEX($Q$136:$Z$138, MATCH($D$6,$F$137:$F$139,0), (COLUMN()-COLUMN($Q$52)+1))</f>
        <v>0.2872849977057978</v>
      </c>
      <c r="S53" s="99" cm="1">
        <f t="array" ref="S53">INDEX($Q$136:$Z$138, MATCH($D$6,$F$137:$F$139,0), (COLUMN()-COLUMN($Q$52)+1))</f>
        <v>0.2872849977057978</v>
      </c>
      <c r="T53" s="99" cm="1">
        <f t="array" ref="T53">INDEX($Q$136:$Z$138, MATCH($D$6,$F$137:$F$139,0), (COLUMN()-COLUMN($Q$52)+1))</f>
        <v>0.2872849977057978</v>
      </c>
      <c r="U53" s="99" cm="1">
        <f t="array" ref="U53">INDEX($Q$136:$Z$138, MATCH($D$6,$F$137:$F$139,0), (COLUMN()-COLUMN($Q$52)+1))</f>
        <v>0.2872849977057978</v>
      </c>
      <c r="V53" s="9"/>
      <c r="W53" s="9"/>
      <c r="X53" s="9"/>
      <c r="Y53" s="9"/>
      <c r="Z53" s="9"/>
    </row>
    <row r="54" spans="2:26">
      <c r="B54" t="s">
        <v>171</v>
      </c>
      <c r="D54" s="9">
        <f>D11</f>
        <v>79946</v>
      </c>
      <c r="F54" s="1"/>
      <c r="G54" s="9"/>
      <c r="H54" s="9"/>
      <c r="I54" s="9"/>
      <c r="J54" s="9"/>
      <c r="K54" s="9"/>
      <c r="L54" s="9"/>
      <c r="M54" s="9"/>
      <c r="N54" s="9"/>
      <c r="O54" s="9"/>
      <c r="P54" s="9"/>
      <c r="Q54" s="29"/>
      <c r="R54" s="9"/>
      <c r="S54" s="9"/>
      <c r="T54" s="9"/>
      <c r="U54" s="9"/>
      <c r="V54" s="21">
        <f>V49+V51</f>
        <v>20053.236422603564</v>
      </c>
      <c r="W54" s="21">
        <f>W49+W51</f>
        <v>21412.845852056085</v>
      </c>
      <c r="X54" s="21">
        <f>X49+X51</f>
        <v>22864.636800825487</v>
      </c>
      <c r="Y54" s="21">
        <f>Y49+Y51</f>
        <v>24414.859175921454</v>
      </c>
      <c r="Z54" s="21">
        <f>Z49+Z51</f>
        <v>26070.18662804893</v>
      </c>
    </row>
    <row r="55" spans="2:26">
      <c r="B55" t="s">
        <v>172</v>
      </c>
      <c r="F55" s="10" t="s">
        <v>115</v>
      </c>
      <c r="G55" s="21">
        <f t="shared" ref="G55:U55" si="53">G50+G52</f>
        <v>0</v>
      </c>
      <c r="H55" s="21">
        <f t="shared" si="53"/>
        <v>0</v>
      </c>
      <c r="I55" s="21">
        <f t="shared" si="53"/>
        <v>0</v>
      </c>
      <c r="J55" s="21">
        <f t="shared" si="53"/>
        <v>2648</v>
      </c>
      <c r="K55" s="21">
        <f t="shared" si="53"/>
        <v>10425</v>
      </c>
      <c r="L55" s="21">
        <f t="shared" si="53"/>
        <v>10772</v>
      </c>
      <c r="M55" s="21">
        <f t="shared" si="53"/>
        <v>9386</v>
      </c>
      <c r="N55" s="21">
        <f t="shared" si="53"/>
        <v>10038</v>
      </c>
      <c r="O55" s="21">
        <f t="shared" si="53"/>
        <v>12135</v>
      </c>
      <c r="P55" s="21">
        <f t="shared" si="53"/>
        <v>13446</v>
      </c>
      <c r="Q55" s="33">
        <f t="shared" si="53"/>
        <v>14445.912244254463</v>
      </c>
      <c r="R55" s="21">
        <f t="shared" si="53"/>
        <v>15425.237530404558</v>
      </c>
      <c r="S55" s="21">
        <f t="shared" si="53"/>
        <v>16470.953778916646</v>
      </c>
      <c r="T55" s="21">
        <f t="shared" si="53"/>
        <v>17587.561802692922</v>
      </c>
      <c r="U55" s="21">
        <f t="shared" si="53"/>
        <v>18779.867536237383</v>
      </c>
      <c r="V55" s="21"/>
      <c r="W55" s="21"/>
      <c r="X55" s="21"/>
      <c r="Y55" s="21"/>
      <c r="Z55" s="21"/>
    </row>
    <row r="56" spans="2:26">
      <c r="B56" t="s">
        <v>173</v>
      </c>
      <c r="F56" s="10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33"/>
      <c r="R56" s="21"/>
      <c r="S56" s="21"/>
      <c r="T56" s="21"/>
      <c r="U56" s="21"/>
      <c r="V56" s="9">
        <f t="shared" ref="R56:Z57" si="54">-V57*V49</f>
        <v>-3419.3159285026659</v>
      </c>
      <c r="W56" s="9">
        <f t="shared" si="54"/>
        <v>-3651.145548455147</v>
      </c>
      <c r="X56" s="9">
        <f t="shared" si="54"/>
        <v>-3898.6932166404058</v>
      </c>
      <c r="Y56" s="9">
        <f t="shared" si="54"/>
        <v>-4163.024616728625</v>
      </c>
      <c r="Z56" s="9">
        <f t="shared" si="54"/>
        <v>-4445.2776857428262</v>
      </c>
    </row>
    <row r="57" spans="2:26">
      <c r="B57" s="10" t="s">
        <v>174</v>
      </c>
      <c r="D57" s="9">
        <f>D51+D52+D53-D54-D55-D56</f>
        <v>219106.4839303731</v>
      </c>
      <c r="F57" s="1" t="s">
        <v>120</v>
      </c>
      <c r="G57" s="9">
        <f t="shared" ref="G57:P57" si="55">-G33</f>
        <v>0</v>
      </c>
      <c r="H57" s="9">
        <f t="shared" si="55"/>
        <v>0</v>
      </c>
      <c r="I57" s="9">
        <f t="shared" si="55"/>
        <v>0</v>
      </c>
      <c r="J57" s="9">
        <f t="shared" si="55"/>
        <v>-1598</v>
      </c>
      <c r="K57" s="9">
        <f t="shared" si="55"/>
        <v>-1719</v>
      </c>
      <c r="L57" s="9">
        <f t="shared" si="55"/>
        <v>-1475</v>
      </c>
      <c r="M57" s="9">
        <f t="shared" si="55"/>
        <v>-1498</v>
      </c>
      <c r="N57" s="9">
        <f t="shared" si="55"/>
        <v>-1720</v>
      </c>
      <c r="O57" s="9">
        <f t="shared" si="55"/>
        <v>-1879</v>
      </c>
      <c r="P57" s="9">
        <f t="shared" si="55"/>
        <v>-2224</v>
      </c>
      <c r="Q57" s="29">
        <f>-Q58*Q50</f>
        <v>-2463.1442030705366</v>
      </c>
      <c r="R57" s="9">
        <f t="shared" si="54"/>
        <v>-2630.1270395099873</v>
      </c>
      <c r="S57" s="9">
        <f t="shared" si="54"/>
        <v>-2808.4300689087481</v>
      </c>
      <c r="T57" s="9">
        <f t="shared" si="54"/>
        <v>-2998.8207160595002</v>
      </c>
      <c r="U57" s="9">
        <f t="shared" si="54"/>
        <v>-3202.1184314416391</v>
      </c>
      <c r="V57" s="99" cm="1">
        <f t="array" ref="V57">INDEX($Q$131:$Z$133, MATCH($D$6,$F$132:$F$134,0), (COLUMN()-COLUMN($Q$52)+1))</f>
        <v>0.2195</v>
      </c>
      <c r="W57" s="99" cm="1">
        <f t="array" ref="W57">INDEX($Q$131:$Z$133, MATCH($D$6,$F$132:$F$134,0), (COLUMN()-COLUMN($Q$52)+1))</f>
        <v>0.2195</v>
      </c>
      <c r="X57" s="99" cm="1">
        <f t="array" ref="X57">INDEX($Q$131:$Z$133, MATCH($D$6,$F$132:$F$134,0), (COLUMN()-COLUMN($Q$52)+1))</f>
        <v>0.2195</v>
      </c>
      <c r="Y57" s="99" cm="1">
        <f t="array" ref="Y57">INDEX($Q$131:$Z$133, MATCH($D$6,$F$132:$F$134,0), (COLUMN()-COLUMN($Q$52)+1))</f>
        <v>0.2195</v>
      </c>
      <c r="Z57" s="99" cm="1">
        <f t="array" ref="Z57">INDEX($Q$131:$Z$133, MATCH($D$6,$F$132:$F$134,0), (COLUMN()-COLUMN($Q$52)+1))</f>
        <v>0.2195</v>
      </c>
    </row>
    <row r="58" spans="2:26">
      <c r="F58" s="96" t="s">
        <v>297</v>
      </c>
      <c r="G58" s="101"/>
      <c r="H58" s="101"/>
      <c r="I58" s="101"/>
      <c r="J58" s="101"/>
      <c r="K58" s="101"/>
      <c r="L58" s="101"/>
      <c r="M58" s="101"/>
      <c r="N58" s="101"/>
      <c r="O58" s="101"/>
      <c r="P58" s="101"/>
      <c r="Q58" s="98" cm="1">
        <f t="array" ref="Q58">INDEX($Q$131:$Z$133, MATCH($D$6,$F$132:$F$134,0), (COLUMN()-COLUMN($Q$52)+1))</f>
        <v>0.21949244368833867</v>
      </c>
      <c r="R58" s="99" cm="1">
        <f t="array" ref="R58">INDEX($Q$131:$Z$133, MATCH($D$6,$F$132:$F$134,0), (COLUMN()-COLUMN($Q$52)+1))</f>
        <v>0.21949244368833867</v>
      </c>
      <c r="S58" s="99" cm="1">
        <f t="array" ref="S58">INDEX($Q$131:$Z$133, MATCH($D$6,$F$132:$F$134,0), (COLUMN()-COLUMN($Q$52)+1))</f>
        <v>0.21949244368833867</v>
      </c>
      <c r="T58" s="99" cm="1">
        <f t="array" ref="T58">INDEX($Q$131:$Z$133, MATCH($D$6,$F$132:$F$134,0), (COLUMN()-COLUMN($Q$52)+1))</f>
        <v>0.21949244368833867</v>
      </c>
      <c r="U58" s="99" cm="1">
        <f t="array" ref="U58">INDEX($Q$131:$Z$133, MATCH($D$6,$F$132:$F$134,0), (COLUMN()-COLUMN($Q$52)+1))</f>
        <v>0.21949244368833867</v>
      </c>
      <c r="V58" s="52"/>
      <c r="W58" s="52"/>
      <c r="X58" s="52"/>
      <c r="Y58" s="52"/>
      <c r="Z58" s="52"/>
    </row>
    <row r="59" spans="2:26">
      <c r="B59" t="s">
        <v>175</v>
      </c>
      <c r="D59" s="25">
        <f>'Statements Input'!N54</f>
        <v>159270</v>
      </c>
      <c r="F59" s="82"/>
      <c r="G59" s="83"/>
      <c r="H59" s="83"/>
      <c r="I59" s="83"/>
      <c r="J59" s="83"/>
      <c r="K59" s="83"/>
      <c r="L59" s="83"/>
      <c r="M59" s="83"/>
      <c r="N59" s="83"/>
      <c r="O59" s="83"/>
      <c r="P59" s="83"/>
      <c r="Q59" s="53"/>
      <c r="R59" s="52"/>
      <c r="S59" s="52"/>
      <c r="T59" s="52"/>
      <c r="U59" s="52"/>
      <c r="V59" s="21">
        <f>V54+V56</f>
        <v>16633.920494100897</v>
      </c>
      <c r="W59" s="21">
        <f>W54+W56</f>
        <v>17761.700303600937</v>
      </c>
      <c r="X59" s="21">
        <f>X54+X56</f>
        <v>18965.943584185079</v>
      </c>
      <c r="Y59" s="21">
        <f>Y54+Y56</f>
        <v>20251.83455919283</v>
      </c>
      <c r="Z59" s="21">
        <f>Z54+Z56</f>
        <v>21624.908942306105</v>
      </c>
    </row>
    <row r="60" spans="2:26">
      <c r="B60" t="s">
        <v>176</v>
      </c>
      <c r="D60" s="9">
        <f>D57/D59</f>
        <v>1.3756921198617009</v>
      </c>
      <c r="F60" s="10" t="s">
        <v>116</v>
      </c>
      <c r="G60" s="10" t="s">
        <v>97</v>
      </c>
      <c r="H60" s="21">
        <f t="shared" ref="H60:U60" si="56">H55+H57</f>
        <v>0</v>
      </c>
      <c r="I60" s="21">
        <f t="shared" si="56"/>
        <v>0</v>
      </c>
      <c r="J60" s="21">
        <f t="shared" si="56"/>
        <v>1050</v>
      </c>
      <c r="K60" s="21">
        <f t="shared" si="56"/>
        <v>8706</v>
      </c>
      <c r="L60" s="21">
        <f t="shared" si="56"/>
        <v>9297</v>
      </c>
      <c r="M60" s="21">
        <f t="shared" si="56"/>
        <v>7888</v>
      </c>
      <c r="N60" s="21">
        <f t="shared" si="56"/>
        <v>8318</v>
      </c>
      <c r="O60" s="21">
        <f t="shared" si="56"/>
        <v>10256</v>
      </c>
      <c r="P60" s="21">
        <f t="shared" si="56"/>
        <v>11222</v>
      </c>
      <c r="Q60" s="33">
        <f t="shared" si="56"/>
        <v>11982.768041183926</v>
      </c>
      <c r="R60" s="21">
        <f t="shared" si="56"/>
        <v>12795.110490894571</v>
      </c>
      <c r="S60" s="21">
        <f t="shared" si="56"/>
        <v>13662.523710007898</v>
      </c>
      <c r="T60" s="21">
        <f t="shared" si="56"/>
        <v>14588.741086633421</v>
      </c>
      <c r="U60" s="21">
        <f t="shared" si="56"/>
        <v>15577.749104795745</v>
      </c>
      <c r="V60" s="9"/>
      <c r="W60" s="9"/>
      <c r="X60" s="9"/>
      <c r="Y60" s="9"/>
      <c r="Z60" s="9"/>
    </row>
    <row r="61" spans="2:26">
      <c r="G61" s="21"/>
      <c r="H61" s="21"/>
      <c r="I61" s="21"/>
      <c r="J61" s="21"/>
      <c r="K61" s="21"/>
      <c r="L61" s="21"/>
      <c r="M61" s="21"/>
      <c r="N61" s="21"/>
      <c r="O61" s="21"/>
      <c r="P61" s="21"/>
      <c r="Q61" s="29"/>
      <c r="R61" s="9"/>
      <c r="S61" s="9"/>
      <c r="T61" s="9"/>
      <c r="U61" s="9"/>
      <c r="V61" s="39">
        <f>U62+1</f>
        <v>2031</v>
      </c>
      <c r="W61" s="39">
        <f t="shared" ref="R61:Z62" si="57">V61+1</f>
        <v>2032</v>
      </c>
      <c r="X61" s="39">
        <f t="shared" si="57"/>
        <v>2033</v>
      </c>
      <c r="Y61" s="39">
        <f t="shared" si="57"/>
        <v>2034</v>
      </c>
      <c r="Z61" s="39">
        <f t="shared" si="57"/>
        <v>2035</v>
      </c>
    </row>
    <row r="62" spans="2:26">
      <c r="B62" t="s">
        <v>177</v>
      </c>
      <c r="D62">
        <f>'Statements Input'!C9</f>
        <v>0.89</v>
      </c>
      <c r="F62" s="11" t="s">
        <v>127</v>
      </c>
      <c r="G62" s="18">
        <f>'Statements Input'!E11</f>
        <v>2016</v>
      </c>
      <c r="H62" s="18">
        <f>'Statements Input'!F11</f>
        <v>2017</v>
      </c>
      <c r="I62" s="18">
        <f>'Statements Input'!G11</f>
        <v>2018</v>
      </c>
      <c r="J62" s="18">
        <f>'Statements Input'!H11</f>
        <v>2019</v>
      </c>
      <c r="K62" s="18">
        <f>'Statements Input'!I11</f>
        <v>2020</v>
      </c>
      <c r="L62" s="18">
        <f>'Statements Input'!J11</f>
        <v>2021</v>
      </c>
      <c r="M62" s="18">
        <f>'Statements Input'!K11</f>
        <v>2022</v>
      </c>
      <c r="N62" s="18">
        <f>'Statements Input'!L11</f>
        <v>2023</v>
      </c>
      <c r="O62" s="18">
        <f>'Statements Input'!M11</f>
        <v>2024</v>
      </c>
      <c r="P62" s="18">
        <f>'Statements Input'!N11</f>
        <v>2025</v>
      </c>
      <c r="Q62" s="38">
        <f>P62+1</f>
        <v>2026</v>
      </c>
      <c r="R62" s="39">
        <f t="shared" si="57"/>
        <v>2027</v>
      </c>
      <c r="S62" s="39">
        <f t="shared" si="57"/>
        <v>2028</v>
      </c>
      <c r="T62" s="39">
        <f t="shared" si="57"/>
        <v>2029</v>
      </c>
      <c r="U62" s="39">
        <f t="shared" si="57"/>
        <v>2030</v>
      </c>
      <c r="V62" s="9">
        <f>U73</f>
        <v>39124.913329995929</v>
      </c>
      <c r="W62" s="9">
        <f>V72</f>
        <v>38968.413676675947</v>
      </c>
      <c r="X62" s="9">
        <f>W72</f>
        <v>38812.540021969238</v>
      </c>
      <c r="Y62" s="9">
        <f>X72</f>
        <v>38657.289861881363</v>
      </c>
      <c r="Z62" s="9">
        <f>Y72</f>
        <v>38502.660702433837</v>
      </c>
    </row>
    <row r="63" spans="2:26">
      <c r="B63" t="s">
        <v>178</v>
      </c>
      <c r="D63" s="22">
        <f>(D60/D62)-1</f>
        <v>0.54572148299067513</v>
      </c>
      <c r="F63" t="s">
        <v>288</v>
      </c>
      <c r="G63" s="9">
        <f>'Statements Input'!D102</f>
        <v>0</v>
      </c>
      <c r="H63" s="9">
        <f>'Statements Input'!E102</f>
        <v>0</v>
      </c>
      <c r="I63" s="9">
        <f>'Statements Input'!F102</f>
        <v>0</v>
      </c>
      <c r="J63" s="9">
        <f>'Statements Input'!G102</f>
        <v>0</v>
      </c>
      <c r="K63" s="9">
        <f>'Statements Input'!H102</f>
        <v>25885</v>
      </c>
      <c r="L63" s="9">
        <f>'Statements Input'!I102</f>
        <v>28584</v>
      </c>
      <c r="M63" s="9">
        <f>'Statements Input'!J102</f>
        <v>34718</v>
      </c>
      <c r="N63" s="9">
        <f>'Statements Input'!K102</f>
        <v>33938</v>
      </c>
      <c r="O63" s="9">
        <f>'Statements Input'!L102</f>
        <v>35001</v>
      </c>
      <c r="P63" s="9">
        <f>'Statements Input'!M102</f>
        <v>41077</v>
      </c>
      <c r="Q63" s="29">
        <f>P73</f>
        <v>39914</v>
      </c>
      <c r="R63" s="9">
        <f>Q73</f>
        <v>39754.919655751211</v>
      </c>
      <c r="S63" s="9">
        <f>R73</f>
        <v>39596.473338558753</v>
      </c>
      <c r="T63" s="9">
        <f>S73</f>
        <v>39438.658521458587</v>
      </c>
      <c r="U63" s="9">
        <f>T73</f>
        <v>39281.472687558096</v>
      </c>
      <c r="V63" s="9"/>
      <c r="W63" s="9"/>
      <c r="X63" s="9"/>
      <c r="Y63" s="9"/>
      <c r="Z63" s="9"/>
    </row>
    <row r="64" spans="2:26">
      <c r="G64" s="9"/>
      <c r="H64" s="9"/>
      <c r="I64" s="9"/>
      <c r="J64" s="9"/>
      <c r="K64" s="9"/>
      <c r="L64" s="9"/>
      <c r="M64" s="9"/>
      <c r="N64" s="9"/>
      <c r="O64" s="9"/>
      <c r="P64" s="9"/>
      <c r="Q64" s="29"/>
      <c r="R64" s="9"/>
      <c r="S64" s="9"/>
      <c r="T64" s="9"/>
      <c r="U64" s="9"/>
      <c r="V64" s="9">
        <f t="shared" ref="R64:Z65" si="58">V62*V65</f>
        <v>8998.7300658990644</v>
      </c>
      <c r="W64" s="9">
        <f t="shared" si="58"/>
        <v>8962.7351456354681</v>
      </c>
      <c r="X64" s="9">
        <f t="shared" si="58"/>
        <v>8926.8842050529256</v>
      </c>
      <c r="Y64" s="9">
        <f t="shared" si="58"/>
        <v>8891.1766682327143</v>
      </c>
      <c r="Z64" s="9">
        <f t="shared" si="58"/>
        <v>8855.6119615597836</v>
      </c>
    </row>
    <row r="65" spans="2:43">
      <c r="B65" t="s">
        <v>179</v>
      </c>
      <c r="D65" s="17">
        <v>0.2</v>
      </c>
      <c r="F65" s="1" t="s">
        <v>289</v>
      </c>
      <c r="G65" s="9">
        <f>'Statements Input'!E152</f>
        <v>0</v>
      </c>
      <c r="H65" s="9">
        <f>'Statements Input'!F152</f>
        <v>0</v>
      </c>
      <c r="I65" s="9">
        <f>'Statements Input'!G152</f>
        <v>0</v>
      </c>
      <c r="J65" s="9">
        <f>'Statements Input'!H152</f>
        <v>4602</v>
      </c>
      <c r="K65" s="9">
        <f>'Statements Input'!I152</f>
        <v>8309</v>
      </c>
      <c r="L65" s="9">
        <f>'Statements Input'!J152</f>
        <v>10917</v>
      </c>
      <c r="M65" s="9">
        <f>'Statements Input'!K152</f>
        <v>2013</v>
      </c>
      <c r="N65" s="9">
        <f>'Statements Input'!L152</f>
        <v>5149</v>
      </c>
      <c r="O65" s="9">
        <f>'Statements Input'!M152</f>
        <v>11756</v>
      </c>
      <c r="P65" s="9">
        <f>'Statements Input'!N152</f>
        <v>8434</v>
      </c>
      <c r="Q65" s="29">
        <f>Q63*Q66</f>
        <v>9180.2200000000012</v>
      </c>
      <c r="R65" s="9">
        <f t="shared" si="58"/>
        <v>9143.6315208227788</v>
      </c>
      <c r="S65" s="9">
        <f t="shared" si="58"/>
        <v>9107.1888678685136</v>
      </c>
      <c r="T65" s="9">
        <f t="shared" si="58"/>
        <v>9070.8914599354757</v>
      </c>
      <c r="U65" s="9">
        <f t="shared" si="58"/>
        <v>9034.7387181383619</v>
      </c>
      <c r="V65" s="99" cm="1">
        <f t="array" ref="V65">INDEX($Q$165:$Z$167, MATCH($D$6,$F$166:$F$168,0), (COLUMN()-COLUMN($Q$52)+1))</f>
        <v>0.23</v>
      </c>
      <c r="W65" s="99" cm="1">
        <f t="array" ref="W65">INDEX($Q$165:$Z$167, MATCH($D$6,$F$166:$F$168,0), (COLUMN()-COLUMN($Q$52)+1))</f>
        <v>0.23</v>
      </c>
      <c r="X65" s="99" cm="1">
        <f t="array" ref="X65">INDEX($Q$165:$Z$167, MATCH($D$6,$F$166:$F$168,0), (COLUMN()-COLUMN($Q$52)+1))</f>
        <v>0.23</v>
      </c>
      <c r="Y65" s="99" cm="1">
        <f t="array" ref="Y65">INDEX($Q$165:$Z$167, MATCH($D$6,$F$166:$F$168,0), (COLUMN()-COLUMN($Q$52)+1))</f>
        <v>0.23</v>
      </c>
      <c r="Z65" s="99" cm="1">
        <f t="array" ref="Z65">INDEX($Q$165:$Z$167, MATCH($D$6,$F$166:$F$168,0), (COLUMN()-COLUMN($Q$52)+1))</f>
        <v>0.23</v>
      </c>
    </row>
    <row r="66" spans="2:43">
      <c r="F66" s="96" t="s">
        <v>151</v>
      </c>
      <c r="G66" s="97"/>
      <c r="H66" s="97"/>
      <c r="I66" s="97"/>
      <c r="J66" s="97"/>
      <c r="K66" s="97"/>
      <c r="L66" s="97"/>
      <c r="M66" s="97"/>
      <c r="N66" s="97"/>
      <c r="O66" s="97"/>
      <c r="P66" s="97"/>
      <c r="Q66" s="98" cm="1">
        <f t="array" ref="Q66">INDEX($Q$165:$Z$167, MATCH($D$6,$F$166:$F$168,0), (COLUMN()-COLUMN($Q$52)+1))</f>
        <v>0.23</v>
      </c>
      <c r="R66" s="99" cm="1">
        <f t="array" ref="R66">INDEX($Q$165:$Z$167, MATCH($D$6,$F$166:$F$168,0), (COLUMN()-COLUMN($Q$52)+1))</f>
        <v>0.23</v>
      </c>
      <c r="S66" s="99" cm="1">
        <f t="array" ref="S66">INDEX($Q$165:$Z$167, MATCH($D$6,$F$166:$F$168,0), (COLUMN()-COLUMN($Q$52)+1))</f>
        <v>0.23</v>
      </c>
      <c r="T66" s="99" cm="1">
        <f t="array" ref="T66">INDEX($Q$165:$Z$167, MATCH($D$6,$F$166:$F$168,0), (COLUMN()-COLUMN($Q$52)+1))</f>
        <v>0.23</v>
      </c>
      <c r="U66" s="99" cm="1">
        <f t="array" ref="U66">INDEX($Q$165:$Z$167, MATCH($D$6,$F$166:$F$168,0), (COLUMN()-COLUMN($Q$52)+1))</f>
        <v>0.23</v>
      </c>
      <c r="V66" s="9"/>
      <c r="W66" s="9"/>
      <c r="X66" s="9"/>
      <c r="Y66" s="9"/>
      <c r="Z66" s="9"/>
    </row>
    <row r="67" spans="2:43">
      <c r="B67" t="s">
        <v>180</v>
      </c>
      <c r="D67" s="9">
        <f>D60*(1-D65)</f>
        <v>1.1005536958893607</v>
      </c>
      <c r="F67" s="1"/>
      <c r="G67" s="9"/>
      <c r="H67" s="9"/>
      <c r="I67" s="9"/>
      <c r="J67" s="9"/>
      <c r="K67" s="9"/>
      <c r="L67" s="9"/>
      <c r="M67" s="9"/>
      <c r="N67" s="9"/>
      <c r="O67" s="9"/>
      <c r="P67" s="9"/>
      <c r="Q67" s="29"/>
      <c r="R67" s="9"/>
      <c r="S67" s="9"/>
      <c r="T67" s="9"/>
      <c r="U67" s="9"/>
      <c r="V67" s="21">
        <f>V62+V64</f>
        <v>48123.643395894993</v>
      </c>
      <c r="W67" s="21">
        <f>W62+W64</f>
        <v>47931.148822311414</v>
      </c>
      <c r="X67" s="21">
        <f>X62+X64</f>
        <v>47739.424227022166</v>
      </c>
      <c r="Y67" s="21">
        <f>Y62+Y64</f>
        <v>47548.466530114078</v>
      </c>
      <c r="Z67" s="21">
        <f>Z62+Z64</f>
        <v>47358.272663993623</v>
      </c>
    </row>
    <row r="68" spans="2:43">
      <c r="B68" t="s">
        <v>181</v>
      </c>
      <c r="D68" s="22">
        <f>(D67/D62)-1</f>
        <v>0.23657718639254011</v>
      </c>
      <c r="F68" s="10" t="s">
        <v>133</v>
      </c>
      <c r="G68" s="21">
        <f t="shared" ref="G68:U68" si="59">G63+G65</f>
        <v>0</v>
      </c>
      <c r="H68" s="21">
        <f t="shared" si="59"/>
        <v>0</v>
      </c>
      <c r="I68" s="21">
        <f t="shared" si="59"/>
        <v>0</v>
      </c>
      <c r="J68" s="21">
        <f t="shared" si="59"/>
        <v>4602</v>
      </c>
      <c r="K68" s="21">
        <f t="shared" si="59"/>
        <v>34194</v>
      </c>
      <c r="L68" s="21">
        <f t="shared" si="59"/>
        <v>39501</v>
      </c>
      <c r="M68" s="21">
        <f t="shared" si="59"/>
        <v>36731</v>
      </c>
      <c r="N68" s="21">
        <f t="shared" si="59"/>
        <v>39087</v>
      </c>
      <c r="O68" s="21">
        <f t="shared" si="59"/>
        <v>46757</v>
      </c>
      <c r="P68" s="21">
        <f t="shared" si="59"/>
        <v>49511</v>
      </c>
      <c r="Q68" s="33">
        <f t="shared" si="59"/>
        <v>49094.22</v>
      </c>
      <c r="R68" s="21">
        <f t="shared" si="59"/>
        <v>48898.551176573994</v>
      </c>
      <c r="S68" s="21">
        <f t="shared" si="59"/>
        <v>48703.662206427267</v>
      </c>
      <c r="T68" s="21">
        <f t="shared" si="59"/>
        <v>48509.549981394062</v>
      </c>
      <c r="U68" s="21">
        <f t="shared" si="59"/>
        <v>48316.211405696456</v>
      </c>
      <c r="V68" s="21"/>
      <c r="W68" s="21"/>
      <c r="X68" s="21"/>
      <c r="Y68" s="21"/>
      <c r="Z68" s="21"/>
    </row>
    <row r="69" spans="2:43">
      <c r="F69" s="10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33"/>
      <c r="R69" s="21"/>
      <c r="S69" s="21"/>
      <c r="T69" s="21"/>
      <c r="U69" s="21"/>
      <c r="V69" s="9">
        <f>-V70*V62</f>
        <v>-9155.2297192190472</v>
      </c>
      <c r="W69" s="9">
        <f>-W70*W62</f>
        <v>-9118.6088003421719</v>
      </c>
      <c r="X69" s="9">
        <f>-X70*X62</f>
        <v>-9082.1343651408024</v>
      </c>
      <c r="Y69" s="9">
        <f>-Y70*Y62</f>
        <v>-9045.8058276802403</v>
      </c>
      <c r="Z69" s="9">
        <f>-Z70*Z62</f>
        <v>-9009.6226043695187</v>
      </c>
    </row>
    <row r="70" spans="2:43">
      <c r="B70" t="s">
        <v>182</v>
      </c>
      <c r="D70" t="str">
        <f>IF(D67&lt;D62, "Overvalued","Undervalued")</f>
        <v>Undervalued</v>
      </c>
      <c r="F70" s="1" t="s">
        <v>291</v>
      </c>
      <c r="G70" s="9">
        <f t="shared" ref="G70:P70" si="60">G22</f>
        <v>0</v>
      </c>
      <c r="H70" s="9">
        <f t="shared" si="60"/>
        <v>0</v>
      </c>
      <c r="I70" s="9">
        <f t="shared" si="60"/>
        <v>0</v>
      </c>
      <c r="J70" s="9">
        <f t="shared" si="60"/>
        <v>-6223</v>
      </c>
      <c r="K70" s="9">
        <f t="shared" si="60"/>
        <v>-6740</v>
      </c>
      <c r="L70" s="9">
        <f t="shared" si="60"/>
        <v>-6899</v>
      </c>
      <c r="M70" s="9">
        <f t="shared" si="60"/>
        <v>-7542</v>
      </c>
      <c r="N70" s="9">
        <f t="shared" si="60"/>
        <v>-7854</v>
      </c>
      <c r="O70" s="9">
        <f t="shared" si="60"/>
        <v>-8878</v>
      </c>
      <c r="P70" s="9">
        <f t="shared" si="60"/>
        <v>-9597</v>
      </c>
      <c r="Q70" s="29">
        <f>-Q71*Q63</f>
        <v>-9339.3003442487916</v>
      </c>
      <c r="R70" s="9">
        <f>-R71*R63</f>
        <v>-9302.0778380152406</v>
      </c>
      <c r="S70" s="9">
        <f>-S71*S63</f>
        <v>-9265.0036849686785</v>
      </c>
      <c r="T70" s="9">
        <f>-T71*T63</f>
        <v>-9228.0772938359642</v>
      </c>
      <c r="U70" s="9">
        <f>-U71*U63</f>
        <v>-9191.2980757005262</v>
      </c>
      <c r="V70" s="99" cm="1">
        <f t="array" ref="V70">INDEX($Q$170:$Z$172, MATCH($D$6,$F$171:$F$173,0), (COLUMN()-COLUMN($Q$52)+1))</f>
        <v>0.23400000000000001</v>
      </c>
      <c r="W70" s="99" cm="1">
        <f t="array" ref="W70">INDEX($Q$170:$Z$172, MATCH($D$6,$F$171:$F$173,0), (COLUMN()-COLUMN($Q$52)+1))</f>
        <v>0.23400000000000001</v>
      </c>
      <c r="X70" s="99" cm="1">
        <f t="array" ref="X70">INDEX($Q$170:$Z$172, MATCH($D$6,$F$171:$F$173,0), (COLUMN()-COLUMN($Q$52)+1))</f>
        <v>0.23400000000000001</v>
      </c>
      <c r="Y70" s="99" cm="1">
        <f t="array" ref="Y70">INDEX($Q$170:$Z$172, MATCH($D$6,$F$171:$F$173,0), (COLUMN()-COLUMN($Q$52)+1))</f>
        <v>0.23400000000000001</v>
      </c>
      <c r="Z70" s="99" cm="1">
        <f t="array" ref="Z70">INDEX($Q$170:$Z$172, MATCH($D$6,$F$171:$F$173,0), (COLUMN()-COLUMN($Q$52)+1))</f>
        <v>0.23400000000000001</v>
      </c>
    </row>
    <row r="71" spans="2:43">
      <c r="F71" s="96" t="s">
        <v>300</v>
      </c>
      <c r="G71" s="100"/>
      <c r="H71" s="100"/>
      <c r="I71" s="100"/>
      <c r="J71" s="100"/>
      <c r="K71" s="100"/>
      <c r="L71" s="100"/>
      <c r="M71" s="100"/>
      <c r="N71" s="100"/>
      <c r="O71" s="100"/>
      <c r="P71" s="100"/>
      <c r="Q71" s="98" cm="1">
        <f t="array" ref="Q71">INDEX($Q$170:$Z$172, MATCH($D$6,$F$171:$F$173,0), (COLUMN()-COLUMN($Q$52)+1))</f>
        <v>0.23398557759805561</v>
      </c>
      <c r="R71" s="99" cm="1">
        <f t="array" ref="R71">INDEX($Q$170:$Z$172, MATCH($D$6,$F$171:$F$173,0), (COLUMN()-COLUMN($Q$52)+1))</f>
        <v>0.23398557759805561</v>
      </c>
      <c r="S71" s="99" cm="1">
        <f t="array" ref="S71">INDEX($Q$170:$Z$172, MATCH($D$6,$F$171:$F$173,0), (COLUMN()-COLUMN($Q$52)+1))</f>
        <v>0.23398557759805561</v>
      </c>
      <c r="T71" s="99" cm="1">
        <f t="array" ref="T71">INDEX($Q$170:$Z$172, MATCH($D$6,$F$171:$F$173,0), (COLUMN()-COLUMN($Q$52)+1))</f>
        <v>0.23398557759805561</v>
      </c>
      <c r="U71" s="99" cm="1">
        <f t="array" ref="U71">INDEX($Q$170:$Z$172, MATCH($D$6,$F$171:$F$173,0), (COLUMN()-COLUMN($Q$52)+1))</f>
        <v>0.23398557759805561</v>
      </c>
      <c r="V71" s="9"/>
      <c r="W71" s="9"/>
      <c r="X71" s="9"/>
      <c r="Y71" s="9"/>
      <c r="Z71" s="9"/>
    </row>
    <row r="72" spans="2:43">
      <c r="F72" s="1"/>
      <c r="G72" s="9"/>
      <c r="H72" s="9"/>
      <c r="I72" s="9"/>
      <c r="J72" s="9"/>
      <c r="K72" s="9"/>
      <c r="L72" s="9"/>
      <c r="M72" s="9"/>
      <c r="N72" s="9"/>
      <c r="O72" s="9"/>
      <c r="P72" s="9"/>
      <c r="Q72" s="29"/>
      <c r="R72" s="9"/>
      <c r="S72" s="9"/>
      <c r="T72" s="9"/>
      <c r="U72" s="9"/>
      <c r="V72" s="21">
        <f>V67+V69</f>
        <v>38968.413676675947</v>
      </c>
      <c r="W72" s="21">
        <f>W67+W69</f>
        <v>38812.540021969238</v>
      </c>
      <c r="X72" s="21">
        <f>X67+X69</f>
        <v>38657.289861881363</v>
      </c>
      <c r="Y72" s="21">
        <f>Y67+Y69</f>
        <v>38502.660702433837</v>
      </c>
      <c r="Z72" s="21">
        <f>Z67+Z69</f>
        <v>38348.650059624102</v>
      </c>
    </row>
    <row r="73" spans="2:43">
      <c r="F73" s="10" t="s">
        <v>290</v>
      </c>
      <c r="G73" s="10" t="s">
        <v>97</v>
      </c>
      <c r="H73" s="21">
        <f t="shared" ref="H73:U73" si="61">H68+H70</f>
        <v>0</v>
      </c>
      <c r="I73" s="21">
        <f t="shared" si="61"/>
        <v>0</v>
      </c>
      <c r="J73" s="21">
        <f t="shared" si="61"/>
        <v>-1621</v>
      </c>
      <c r="K73" s="21">
        <f t="shared" si="61"/>
        <v>27454</v>
      </c>
      <c r="L73" s="21">
        <f t="shared" si="61"/>
        <v>32602</v>
      </c>
      <c r="M73" s="21">
        <f t="shared" si="61"/>
        <v>29189</v>
      </c>
      <c r="N73" s="21">
        <f t="shared" si="61"/>
        <v>31233</v>
      </c>
      <c r="O73" s="21">
        <f t="shared" si="61"/>
        <v>37879</v>
      </c>
      <c r="P73" s="21">
        <f t="shared" si="61"/>
        <v>39914</v>
      </c>
      <c r="Q73" s="33">
        <f t="shared" si="61"/>
        <v>39754.919655751211</v>
      </c>
      <c r="R73" s="21">
        <f t="shared" si="61"/>
        <v>39596.473338558753</v>
      </c>
      <c r="S73" s="21">
        <f t="shared" si="61"/>
        <v>39438.658521458587</v>
      </c>
      <c r="T73" s="21">
        <f t="shared" si="61"/>
        <v>39281.472687558096</v>
      </c>
      <c r="U73" s="21">
        <f t="shared" si="61"/>
        <v>39124.913329995929</v>
      </c>
    </row>
    <row r="74" spans="2:43">
      <c r="Q74" s="19"/>
      <c r="V74" s="39">
        <f>U75+1</f>
        <v>2031</v>
      </c>
      <c r="W74" s="39">
        <f t="shared" ref="R74:Z75" si="62">V74+1</f>
        <v>2032</v>
      </c>
      <c r="X74" s="39">
        <f t="shared" si="62"/>
        <v>2033</v>
      </c>
      <c r="Y74" s="39">
        <f t="shared" si="62"/>
        <v>2034</v>
      </c>
      <c r="Z74" s="39">
        <f t="shared" si="62"/>
        <v>2035</v>
      </c>
    </row>
    <row r="75" spans="2:43">
      <c r="F75" s="11" t="s">
        <v>142</v>
      </c>
      <c r="G75" s="18">
        <f>$G$4</f>
        <v>2016</v>
      </c>
      <c r="H75" s="18">
        <f>$H$4</f>
        <v>2017</v>
      </c>
      <c r="I75" s="18">
        <f>$I$4</f>
        <v>2018</v>
      </c>
      <c r="J75" s="18">
        <f>$J$4</f>
        <v>2019</v>
      </c>
      <c r="K75" s="18">
        <f>$K$4</f>
        <v>2020</v>
      </c>
      <c r="L75" s="18">
        <f>$L$4</f>
        <v>2021</v>
      </c>
      <c r="M75" s="18">
        <f>$M$4</f>
        <v>2022</v>
      </c>
      <c r="N75" s="18">
        <f>$N$4</f>
        <v>2023</v>
      </c>
      <c r="O75" s="18">
        <f>$O$4</f>
        <v>2024</v>
      </c>
      <c r="P75" s="18">
        <f>$P$4</f>
        <v>2025</v>
      </c>
      <c r="Q75" s="38">
        <f>P75+1</f>
        <v>2026</v>
      </c>
      <c r="R75" s="39">
        <f t="shared" si="62"/>
        <v>2027</v>
      </c>
      <c r="S75" s="39">
        <f t="shared" si="62"/>
        <v>2028</v>
      </c>
      <c r="T75" s="39">
        <f t="shared" si="62"/>
        <v>2029</v>
      </c>
      <c r="U75" s="39">
        <f t="shared" si="62"/>
        <v>2030</v>
      </c>
    </row>
    <row r="76" spans="2:43">
      <c r="F76" s="14" t="s">
        <v>55</v>
      </c>
      <c r="G76" s="22"/>
      <c r="H76" s="22"/>
      <c r="I76" s="22"/>
      <c r="J76" s="22"/>
      <c r="K76" s="22"/>
      <c r="L76" s="22"/>
      <c r="M76" s="22"/>
      <c r="N76" s="22"/>
      <c r="O76" s="22"/>
      <c r="P76" s="22"/>
      <c r="Q76" s="19"/>
      <c r="V76" s="9">
        <f t="shared" ref="V76:Z76" si="63">V77*(V5/365)</f>
        <v>85263.52240174303</v>
      </c>
      <c r="W76" s="9">
        <f t="shared" si="63"/>
        <v>91184.600346308507</v>
      </c>
      <c r="X76" s="9">
        <f t="shared" si="63"/>
        <v>97516.864259246606</v>
      </c>
      <c r="Y76" s="9">
        <f t="shared" si="63"/>
        <v>104288.86872169426</v>
      </c>
      <c r="Z76" s="9">
        <f t="shared" si="63"/>
        <v>111531.15127181193</v>
      </c>
    </row>
    <row r="77" spans="2:43">
      <c r="F77" s="1" t="s">
        <v>143</v>
      </c>
      <c r="G77" s="9">
        <f>'Statements Input'!E92</f>
        <v>0</v>
      </c>
      <c r="H77" s="9">
        <f>'Statements Input'!F92</f>
        <v>0</v>
      </c>
      <c r="I77" s="9">
        <f>'Statements Input'!G92</f>
        <v>0</v>
      </c>
      <c r="J77" s="9">
        <f>'Statements Input'!H92</f>
        <v>52044</v>
      </c>
      <c r="K77" s="9">
        <f>'Statements Input'!I92</f>
        <v>51371</v>
      </c>
      <c r="L77" s="9">
        <f>'Statements Input'!J92</f>
        <v>58541</v>
      </c>
      <c r="M77" s="9">
        <f>'Statements Input'!K92</f>
        <v>59347</v>
      </c>
      <c r="N77" s="9">
        <f>'Statements Input'!L92</f>
        <v>53792</v>
      </c>
      <c r="O77" s="9">
        <f>'Statements Input'!M92</f>
        <v>55015</v>
      </c>
      <c r="P77" s="9">
        <f>'Statements Input'!N92</f>
        <v>58969</v>
      </c>
      <c r="Q77" s="29">
        <f>Q78*(Q5/365)</f>
        <v>60528.695015220706</v>
      </c>
      <c r="R77" s="9">
        <f>R78*(R5/365)</f>
        <v>64281.751992431942</v>
      </c>
      <c r="S77" s="9">
        <f>S78*(S5/365)</f>
        <v>68264.165383264219</v>
      </c>
      <c r="T77" s="9">
        <f>T78*(T5/365)</f>
        <v>72489.691012057243</v>
      </c>
      <c r="U77" s="9">
        <f>U78*(U5/365)</f>
        <v>76972.889155925368</v>
      </c>
      <c r="V77" s="104" cm="1">
        <f t="array" ref="V77">INDEX($Q$177:$Z$179, MATCH($D$6,$F$178:$F$180,0), (COLUMN()-COLUMN($Q$52)+1))</f>
        <v>72.372682044323838</v>
      </c>
      <c r="W77" s="104" cm="1">
        <f t="array" ref="W77">INDEX($Q$177:$Z$179, MATCH($D$6,$F$178:$F$180,0), (COLUMN()-COLUMN($Q$52)+1))</f>
        <v>72.372682044323838</v>
      </c>
      <c r="X77" s="104" cm="1">
        <f t="array" ref="X77">INDEX($Q$177:$Z$179, MATCH($D$6,$F$178:$F$180,0), (COLUMN()-COLUMN($Q$52)+1))</f>
        <v>72.372682044323838</v>
      </c>
      <c r="Y77" s="104" cm="1">
        <f t="array" ref="Y77">INDEX($Q$177:$Z$179, MATCH($D$6,$F$178:$F$180,0), (COLUMN()-COLUMN($Q$52)+1))</f>
        <v>72.372682044323838</v>
      </c>
      <c r="Z77" s="104" cm="1">
        <f t="array" ref="Z77">INDEX($Q$177:$Z$179, MATCH($D$6,$F$178:$F$180,0), (COLUMN()-COLUMN($Q$52)+1))</f>
        <v>72.372682044323838</v>
      </c>
      <c r="AQ77" t="s">
        <v>298</v>
      </c>
    </row>
    <row r="78" spans="2:43">
      <c r="F78" s="102" t="s">
        <v>144</v>
      </c>
      <c r="G78" s="101"/>
      <c r="H78" s="101"/>
      <c r="I78" s="101"/>
      <c r="J78" s="101"/>
      <c r="K78" s="101"/>
      <c r="L78" s="101"/>
      <c r="M78" s="101"/>
      <c r="N78" s="101"/>
      <c r="O78" s="101"/>
      <c r="P78" s="101"/>
      <c r="Q78" s="103" cm="1">
        <f t="array" ref="Q78">INDEX($Q$177:$Z$179, MATCH($D$6,$F$178:$F$180,0), (COLUMN()-COLUMN($Q$52)+1))</f>
        <v>71.872682044323838</v>
      </c>
      <c r="R78" s="104" cm="1">
        <f t="array" ref="R78">INDEX($Q$177:$Z$179, MATCH($D$6,$F$178:$F$180,0), (COLUMN()-COLUMN($Q$52)+1))</f>
        <v>71.372682044323838</v>
      </c>
      <c r="S78" s="104" cm="1">
        <f t="array" ref="S78">INDEX($Q$177:$Z$179, MATCH($D$6,$F$178:$F$180,0), (COLUMN()-COLUMN($Q$52)+1))</f>
        <v>70.872682044323838</v>
      </c>
      <c r="T78" s="104" cm="1">
        <f t="array" ref="T78">INDEX($Q$177:$Z$179, MATCH($D$6,$F$178:$F$180,0), (COLUMN()-COLUMN($Q$52)+1))</f>
        <v>70.372682044323838</v>
      </c>
      <c r="U78" s="104" cm="1">
        <f t="array" ref="U78">INDEX($Q$177:$Z$179, MATCH($D$6,$F$178:$F$180,0), (COLUMN()-COLUMN($Q$52)+1))</f>
        <v>69.872682044323838</v>
      </c>
      <c r="V78" s="9"/>
      <c r="W78" s="9"/>
      <c r="X78" s="9"/>
      <c r="Y78" s="9"/>
      <c r="Z78" s="9"/>
      <c r="AQ78" t="s">
        <v>283</v>
      </c>
    </row>
    <row r="79" spans="2:43">
      <c r="F79" s="1"/>
      <c r="G79" s="9"/>
      <c r="H79" s="9"/>
      <c r="I79" s="9"/>
      <c r="J79" s="9"/>
      <c r="K79" s="9"/>
      <c r="L79" s="9"/>
      <c r="M79" s="9"/>
      <c r="N79" s="9"/>
      <c r="O79" s="9"/>
      <c r="P79" s="9"/>
      <c r="Q79" s="29"/>
      <c r="R79" s="9"/>
      <c r="S79" s="9"/>
      <c r="T79" s="9"/>
      <c r="U79" s="9"/>
      <c r="V79" s="9">
        <f t="shared" ref="V79:Z79" si="64">V80*(-V8/365)</f>
        <v>30678.179398983913</v>
      </c>
      <c r="W79" s="9">
        <f t="shared" si="64"/>
        <v>32808.608523913346</v>
      </c>
      <c r="X79" s="9">
        <f t="shared" si="64"/>
        <v>35086.984115851774</v>
      </c>
      <c r="Y79" s="9">
        <f t="shared" si="64"/>
        <v>37523.58023500815</v>
      </c>
      <c r="Z79" s="9">
        <f t="shared" si="64"/>
        <v>40129.384417994821</v>
      </c>
      <c r="AQ79" t="s">
        <v>284</v>
      </c>
    </row>
    <row r="80" spans="2:43">
      <c r="F80" s="1" t="s">
        <v>43</v>
      </c>
      <c r="G80" s="9">
        <f>'Statements Input'!E93</f>
        <v>0</v>
      </c>
      <c r="H80" s="9">
        <f>'Statements Input'!F93</f>
        <v>0</v>
      </c>
      <c r="I80" s="9">
        <f>'Statements Input'!G93</f>
        <v>0</v>
      </c>
      <c r="J80" s="9">
        <f>'Statements Input'!H93</f>
        <v>15813</v>
      </c>
      <c r="K80" s="9">
        <f>'Statements Input'!I93</f>
        <v>15858</v>
      </c>
      <c r="L80" s="9">
        <f>'Statements Input'!J93</f>
        <v>21269</v>
      </c>
      <c r="M80" s="9">
        <f>'Statements Input'!K93</f>
        <v>22608</v>
      </c>
      <c r="N80" s="9">
        <f>'Statements Input'!L93</f>
        <v>17523</v>
      </c>
      <c r="O80" s="9">
        <f>'Statements Input'!M93</f>
        <v>19049</v>
      </c>
      <c r="P80" s="9">
        <f>'Statements Input'!N93</f>
        <v>22041</v>
      </c>
      <c r="Q80" s="29">
        <f>Q81*(-Q8/365)</f>
        <v>20885.705022831055</v>
      </c>
      <c r="R80" s="9">
        <f>R81*(-R8/365)</f>
        <v>22224.420698947233</v>
      </c>
      <c r="S80" s="9">
        <f>S81*(-S8/365)</f>
        <v>23648.347150764203</v>
      </c>
      <c r="T80" s="9">
        <f>T81*(-T8/365)</f>
        <v>25162.863210573945</v>
      </c>
      <c r="U80" s="9">
        <f>U81*(-U8/365)</f>
        <v>26773.683839113222</v>
      </c>
      <c r="V80" s="104" cm="1">
        <f t="array" ref="V80">INDEX($Q$182:$Z$184, MATCH($D$6,$F$183:$F$185,0), (COLUMN()-COLUMN($Q$52)+1))</f>
        <v>42</v>
      </c>
      <c r="W80" s="104" cm="1">
        <f t="array" ref="W80">INDEX($Q$182:$Z$184, MATCH($D$6,$F$183:$F$185,0), (COLUMN()-COLUMN($Q$52)+1))</f>
        <v>42</v>
      </c>
      <c r="X80" s="104" cm="1">
        <f t="array" ref="X80">INDEX($Q$182:$Z$184, MATCH($D$6,$F$183:$F$185,0), (COLUMN()-COLUMN($Q$52)+1))</f>
        <v>42</v>
      </c>
      <c r="Y80" s="104" cm="1">
        <f t="array" ref="Y80">INDEX($Q$182:$Z$184, MATCH($D$6,$F$183:$F$185,0), (COLUMN()-COLUMN($Q$52)+1))</f>
        <v>42</v>
      </c>
      <c r="Z80" s="104" cm="1">
        <f t="array" ref="Z80">INDEX($Q$182:$Z$184, MATCH($D$6,$F$183:$F$185,0), (COLUMN()-COLUMN($Q$52)+1))</f>
        <v>42</v>
      </c>
    </row>
    <row r="81" spans="6:26">
      <c r="F81" s="102" t="s">
        <v>145</v>
      </c>
      <c r="G81" s="101"/>
      <c r="H81" s="101"/>
      <c r="I81" s="101"/>
      <c r="J81" s="101"/>
      <c r="K81" s="101"/>
      <c r="L81" s="101"/>
      <c r="M81" s="101"/>
      <c r="N81" s="101"/>
      <c r="O81" s="101"/>
      <c r="P81" s="101"/>
      <c r="Q81" s="103" cm="1">
        <f t="array" ref="Q81">INDEX($Q$182:$Z$184, MATCH($D$6,$F$183:$F$185,0), (COLUMN()-COLUMN($Q$52)+1))</f>
        <v>40</v>
      </c>
      <c r="R81" s="104" cm="1">
        <f t="array" ref="R81">INDEX($Q$182:$Z$184, MATCH($D$6,$F$183:$F$185,0), (COLUMN()-COLUMN($Q$52)+1))</f>
        <v>39.799999999999997</v>
      </c>
      <c r="S81" s="104" cm="1">
        <f t="array" ref="S81">INDEX($Q$182:$Z$184, MATCH($D$6,$F$183:$F$185,0), (COLUMN()-COLUMN($Q$52)+1))</f>
        <v>39.599999999999994</v>
      </c>
      <c r="T81" s="104" cm="1">
        <f t="array" ref="T81">INDEX($Q$182:$Z$184, MATCH($D$6,$F$183:$F$185,0), (COLUMN()-COLUMN($Q$52)+1))</f>
        <v>39.399999999999991</v>
      </c>
      <c r="U81" s="104" cm="1">
        <f t="array" ref="U81">INDEX($Q$182:$Z$184, MATCH($D$6,$F$183:$F$185,0), (COLUMN()-COLUMN($Q$52)+1))</f>
        <v>39.199999999999989</v>
      </c>
      <c r="V81" s="9"/>
      <c r="W81" s="9"/>
      <c r="X81" s="9"/>
      <c r="Y81" s="9"/>
      <c r="Z81" s="9"/>
    </row>
    <row r="82" spans="6:26">
      <c r="F82" s="1"/>
      <c r="G82" s="9"/>
      <c r="H82" s="9"/>
      <c r="I82" s="9"/>
      <c r="J82" s="9"/>
      <c r="K82" s="9"/>
      <c r="L82" s="9"/>
      <c r="M82" s="9"/>
      <c r="N82" s="9"/>
      <c r="O82" s="9"/>
      <c r="P82" s="9"/>
      <c r="Q82" s="29"/>
      <c r="R82" s="9"/>
      <c r="S82" s="9"/>
      <c r="T82" s="9"/>
      <c r="U82" s="9"/>
      <c r="V82" s="9">
        <f t="shared" ref="V82:Z82" si="65">V83*V5</f>
        <v>0</v>
      </c>
      <c r="W82" s="9">
        <f t="shared" si="65"/>
        <v>0</v>
      </c>
      <c r="X82" s="9">
        <f t="shared" si="65"/>
        <v>0</v>
      </c>
      <c r="Y82" s="9">
        <f t="shared" si="65"/>
        <v>0</v>
      </c>
      <c r="Z82" s="9">
        <f t="shared" si="65"/>
        <v>0</v>
      </c>
    </row>
    <row r="83" spans="6:26">
      <c r="F83" s="1" t="s">
        <v>59</v>
      </c>
      <c r="G83" s="9">
        <f>'Statements Input'!E94</f>
        <v>0</v>
      </c>
      <c r="H83" s="9">
        <f>'Statements Input'!F94</f>
        <v>0</v>
      </c>
      <c r="I83" s="9">
        <f>'Statements Input'!G94</f>
        <v>0</v>
      </c>
      <c r="J83" s="9">
        <f>'Statements Input'!H94</f>
        <v>0</v>
      </c>
      <c r="K83" s="9">
        <f>'Statements Input'!I94</f>
        <v>0</v>
      </c>
      <c r="L83" s="9">
        <f>'Statements Input'!J94</f>
        <v>0</v>
      </c>
      <c r="M83" s="9">
        <f>'Statements Input'!K94</f>
        <v>0</v>
      </c>
      <c r="N83" s="9">
        <f>'Statements Input'!L94</f>
        <v>0</v>
      </c>
      <c r="O83" s="9">
        <f>'Statements Input'!M94</f>
        <v>0</v>
      </c>
      <c r="P83" s="9">
        <f>'Statements Input'!N94</f>
        <v>0</v>
      </c>
      <c r="Q83" s="29">
        <f>Q84*Q5</f>
        <v>0</v>
      </c>
      <c r="R83" s="9">
        <f>R84*R5</f>
        <v>0</v>
      </c>
      <c r="S83" s="9">
        <f>S84*S5</f>
        <v>0</v>
      </c>
      <c r="T83" s="9">
        <f>T84*T5</f>
        <v>0</v>
      </c>
      <c r="U83" s="9">
        <f>U84*U5</f>
        <v>0</v>
      </c>
      <c r="V83" s="99" cm="1">
        <f t="array" ref="V83">INDEX($Q$187:$Z$189, MATCH($D$6,$F$188:$F$190,0), (COLUMN()-COLUMN($Q$52)+1))</f>
        <v>0</v>
      </c>
      <c r="W83" s="99" cm="1">
        <f t="array" ref="W83">INDEX($Q$187:$Z$189, MATCH($D$6,$F$188:$F$190,0), (COLUMN()-COLUMN($Q$52)+1))</f>
        <v>0</v>
      </c>
      <c r="X83" s="99" cm="1">
        <f t="array" ref="X83">INDEX($Q$187:$Z$189, MATCH($D$6,$F$188:$F$190,0), (COLUMN()-COLUMN($Q$52)+1))</f>
        <v>0</v>
      </c>
      <c r="Y83" s="99" cm="1">
        <f t="array" ref="Y83">INDEX($Q$187:$Z$189, MATCH($D$6,$F$188:$F$190,0), (COLUMN()-COLUMN($Q$52)+1))</f>
        <v>0</v>
      </c>
      <c r="Z83" s="99" cm="1">
        <f t="array" ref="Z83">INDEX($Q$187:$Z$189, MATCH($D$6,$F$188:$F$190,0), (COLUMN()-COLUMN($Q$52)+1))</f>
        <v>0</v>
      </c>
    </row>
    <row r="84" spans="6:26">
      <c r="F84" s="102" t="s">
        <v>147</v>
      </c>
      <c r="G84" s="9" t="s">
        <v>302</v>
      </c>
      <c r="H84" s="9"/>
      <c r="I84" s="9"/>
      <c r="J84" s="9"/>
      <c r="K84" s="9"/>
      <c r="L84" s="9"/>
      <c r="M84" s="9"/>
      <c r="N84" s="9"/>
      <c r="O84" s="9"/>
      <c r="P84" s="9"/>
      <c r="Q84" s="99" cm="1">
        <f t="array" ref="Q84">INDEX($Q$187:$Z$189, MATCH($D$6,$F$188:$F$190,0), (COLUMN()-COLUMN($Q$52)+1))</f>
        <v>0</v>
      </c>
      <c r="R84" s="99" cm="1">
        <f t="array" ref="R84">INDEX($Q$187:$Z$189, MATCH($D$6,$F$188:$F$190,0), (COLUMN()-COLUMN($Q$52)+1))</f>
        <v>0</v>
      </c>
      <c r="S84" s="99" cm="1">
        <f t="array" ref="S84">INDEX($Q$187:$Z$189, MATCH($D$6,$F$188:$F$190,0), (COLUMN()-COLUMN($Q$52)+1))</f>
        <v>0</v>
      </c>
      <c r="T84" s="99" cm="1">
        <f t="array" ref="T84">INDEX($Q$187:$Z$189, MATCH($D$6,$F$188:$F$190,0), (COLUMN()-COLUMN($Q$52)+1))</f>
        <v>0</v>
      </c>
      <c r="U84" s="99" cm="1">
        <f t="array" ref="U84">INDEX($Q$187:$Z$189, MATCH($D$6,$F$188:$F$190,0), (COLUMN()-COLUMN($Q$52)+1))</f>
        <v>0</v>
      </c>
      <c r="V84" s="9"/>
      <c r="W84" s="9"/>
      <c r="X84" s="9"/>
      <c r="Y84" s="9"/>
      <c r="Z84" s="9"/>
    </row>
    <row r="85" spans="6:26">
      <c r="F85" s="1"/>
      <c r="G85" s="9"/>
      <c r="H85" s="9"/>
      <c r="I85" s="9"/>
      <c r="J85" s="9"/>
      <c r="K85" s="9"/>
      <c r="L85" s="9"/>
      <c r="M85" s="9"/>
      <c r="N85" s="9"/>
      <c r="O85" s="9"/>
      <c r="P85" s="9"/>
      <c r="Q85" s="29"/>
      <c r="R85" s="9"/>
      <c r="S85" s="9"/>
      <c r="T85" s="9"/>
      <c r="U85" s="9"/>
      <c r="V85" s="9">
        <f t="shared" ref="V85:Z85" si="66">V5*V86</f>
        <v>4300.128832806884</v>
      </c>
      <c r="W85" s="9">
        <f t="shared" si="66"/>
        <v>4598.7488906406952</v>
      </c>
      <c r="X85" s="9">
        <f t="shared" si="66"/>
        <v>4918.1064524907442</v>
      </c>
      <c r="Y85" s="9">
        <f t="shared" si="66"/>
        <v>5259.641622802601</v>
      </c>
      <c r="Z85" s="9">
        <f t="shared" si="66"/>
        <v>5624.8945132750041</v>
      </c>
    </row>
    <row r="86" spans="6:26">
      <c r="F86" s="1" t="s">
        <v>60</v>
      </c>
      <c r="G86" s="9">
        <f>'Statements Input'!E95</f>
        <v>0</v>
      </c>
      <c r="H86" s="9">
        <f>'Statements Input'!F95</f>
        <v>0</v>
      </c>
      <c r="I86" s="9">
        <f>'Statements Input'!G95</f>
        <v>0</v>
      </c>
      <c r="J86" s="9">
        <f>'Statements Input'!H95</f>
        <v>0</v>
      </c>
      <c r="K86" s="9">
        <f>'Statements Input'!I95</f>
        <v>0</v>
      </c>
      <c r="L86" s="9">
        <f>'Statements Input'!J95</f>
        <v>0</v>
      </c>
      <c r="M86" s="9">
        <f>'Statements Input'!K95</f>
        <v>675</v>
      </c>
      <c r="N86" s="9">
        <f>'Statements Input'!L95</f>
        <v>225</v>
      </c>
      <c r="O86" s="9">
        <f>'Statements Input'!M95</f>
        <v>469</v>
      </c>
      <c r="P86" s="9">
        <f>'Statements Input'!N95</f>
        <v>2091</v>
      </c>
      <c r="Q86" s="29">
        <f>Q5*Q87</f>
        <v>3073.9041666666672</v>
      </c>
      <c r="R86" s="9">
        <f>R5*R87</f>
        <v>3287.3697337962967</v>
      </c>
      <c r="S86" s="9">
        <f>S5*S87</f>
        <v>3515.6592986432615</v>
      </c>
      <c r="T86" s="9">
        <f>T5*T87</f>
        <v>3759.8023054934883</v>
      </c>
      <c r="U86" s="9">
        <f>U5*U87</f>
        <v>4020.8996878194243</v>
      </c>
      <c r="V86" s="99" cm="1">
        <f t="array" ref="V86">INDEX($Q$192:$Z$194, MATCH($D$6,$F$193:$F$195,0), (COLUMN()-COLUMN($Q$52)+1))</f>
        <v>0.01</v>
      </c>
      <c r="W86" s="99" cm="1">
        <f t="array" ref="W86">INDEX($Q$192:$Z$194, MATCH($D$6,$F$193:$F$195,0), (COLUMN()-COLUMN($Q$52)+1))</f>
        <v>0.01</v>
      </c>
      <c r="X86" s="99" cm="1">
        <f t="array" ref="X86">INDEX($Q$192:$Z$194, MATCH($D$6,$F$193:$F$195,0), (COLUMN()-COLUMN($Q$52)+1))</f>
        <v>0.01</v>
      </c>
      <c r="Y86" s="99" cm="1">
        <f t="array" ref="Y86">INDEX($Q$192:$Z$194, MATCH($D$6,$F$193:$F$195,0), (COLUMN()-COLUMN($Q$52)+1))</f>
        <v>0.01</v>
      </c>
      <c r="Z86" s="99" cm="1">
        <f t="array" ref="Z86">INDEX($Q$192:$Z$194, MATCH($D$6,$F$193:$F$195,0), (COLUMN()-COLUMN($Q$52)+1))</f>
        <v>0.01</v>
      </c>
    </row>
    <row r="87" spans="6:26">
      <c r="F87" s="102" t="s">
        <v>150</v>
      </c>
      <c r="G87" s="9"/>
      <c r="H87" s="9"/>
      <c r="I87" s="9"/>
      <c r="J87" s="9"/>
      <c r="K87" s="9"/>
      <c r="L87" s="9"/>
      <c r="M87" s="9"/>
      <c r="N87" s="9"/>
      <c r="O87" s="9"/>
      <c r="P87" s="9"/>
      <c r="Q87" s="99" cm="1">
        <f t="array" ref="Q87">INDEX($Q$192:$Z$194, MATCH($D$6,$F$193:$F$195,0), (COLUMN()-COLUMN($Q$52)+1))</f>
        <v>0.01</v>
      </c>
      <c r="R87" s="99" cm="1">
        <f t="array" ref="R87">INDEX($Q$192:$Z$194, MATCH($D$6,$F$193:$F$195,0), (COLUMN()-COLUMN($Q$52)+1))</f>
        <v>0.01</v>
      </c>
      <c r="S87" s="99" cm="1">
        <f t="array" ref="S87">INDEX($Q$192:$Z$194, MATCH($D$6,$F$193:$F$195,0), (COLUMN()-COLUMN($Q$52)+1))</f>
        <v>0.01</v>
      </c>
      <c r="T87" s="99" cm="1">
        <f t="array" ref="T87">INDEX($Q$192:$Z$194, MATCH($D$6,$F$193:$F$195,0), (COLUMN()-COLUMN($Q$52)+1))</f>
        <v>0.01</v>
      </c>
      <c r="U87" s="99" cm="1">
        <f t="array" ref="U87">INDEX($Q$192:$Z$194, MATCH($D$6,$F$193:$F$195,0), (COLUMN()-COLUMN($Q$52)+1))</f>
        <v>0.01</v>
      </c>
    </row>
    <row r="88" spans="6:26">
      <c r="Q88" s="19"/>
    </row>
    <row r="89" spans="6:26">
      <c r="F89" s="14" t="s">
        <v>73</v>
      </c>
      <c r="Q89" s="19"/>
      <c r="V89" s="9">
        <f t="shared" ref="V89:Z89" si="67">V90*(-V8/365)</f>
        <v>57937.633342536683</v>
      </c>
      <c r="W89" s="9">
        <f t="shared" si="67"/>
        <v>62117.311571596547</v>
      </c>
      <c r="X89" s="9">
        <f t="shared" si="67"/>
        <v>66598.094640810683</v>
      </c>
      <c r="Y89" s="9">
        <f t="shared" si="67"/>
        <v>71401.646039605126</v>
      </c>
      <c r="Z89" s="9">
        <f t="shared" si="67"/>
        <v>76551.185987996723</v>
      </c>
    </row>
    <row r="90" spans="6:26">
      <c r="F90" s="1" t="s">
        <v>74</v>
      </c>
      <c r="G90" s="9">
        <f>'Statements Input'!E114</f>
        <v>0</v>
      </c>
      <c r="H90" s="9">
        <f>'Statements Input'!F114</f>
        <v>0</v>
      </c>
      <c r="I90" s="9">
        <f>'Statements Input'!G114</f>
        <v>0</v>
      </c>
      <c r="J90" s="9">
        <f>'Statements Input'!H114</f>
        <v>36199</v>
      </c>
      <c r="K90" s="9">
        <f>'Statements Input'!I114</f>
        <v>35622</v>
      </c>
      <c r="L90" s="9">
        <f>'Statements Input'!J114</f>
        <v>42147</v>
      </c>
      <c r="M90" s="9">
        <f>'Statements Input'!K114</f>
        <v>36290</v>
      </c>
      <c r="N90" s="9">
        <f>'Statements Input'!L114</f>
        <v>30323</v>
      </c>
      <c r="O90" s="9">
        <f>'Statements Input'!M114</f>
        <v>34432</v>
      </c>
      <c r="P90" s="9">
        <f>'Statements Input'!N114</f>
        <v>41817</v>
      </c>
      <c r="Q90" s="29">
        <f>Q91*(-Q8/365)</f>
        <v>41311.710261169312</v>
      </c>
      <c r="R90" s="9">
        <f>R91*(-R8/365)</f>
        <v>44738.981559430373</v>
      </c>
      <c r="S90" s="9">
        <f>S91*(-S8/365)</f>
        <v>48443.035762440413</v>
      </c>
      <c r="T90" s="9">
        <f>T91*(-T8/365)</f>
        <v>52445.786818687622</v>
      </c>
      <c r="U90" s="9">
        <f>U91*(-U8/365)</f>
        <v>56770.857486516041</v>
      </c>
      <c r="V90" s="104" cm="1">
        <f t="array" ref="V90">INDEX($Q$198:$Z$200, MATCH($D$6,$F$199:$F$201,0), (COLUMN()-COLUMN($Q$52)+1))</f>
        <v>79.319589625554386</v>
      </c>
      <c r="W90" s="104" cm="1">
        <f t="array" ref="W90">INDEX($Q$198:$Z$200, MATCH($D$6,$F$199:$F$201,0), (COLUMN()-COLUMN($Q$52)+1))</f>
        <v>79.519589625554389</v>
      </c>
      <c r="X90" s="104" cm="1">
        <f t="array" ref="X90">INDEX($Q$198:$Z$200, MATCH($D$6,$F$199:$F$201,0), (COLUMN()-COLUMN($Q$52)+1))</f>
        <v>79.719589625554391</v>
      </c>
      <c r="Y90" s="104" cm="1">
        <f t="array" ref="Y90">INDEX($Q$198:$Z$200, MATCH($D$6,$F$199:$F$201,0), (COLUMN()-COLUMN($Q$52)+1))</f>
        <v>79.919589625554394</v>
      </c>
      <c r="Z90" s="104" cm="1">
        <f t="array" ref="Z90">INDEX($Q$198:$Z$200, MATCH($D$6,$F$199:$F$201,0), (COLUMN()-COLUMN($Q$52)+1))</f>
        <v>80.119589625554397</v>
      </c>
    </row>
    <row r="91" spans="6:26">
      <c r="F91" s="102" t="s">
        <v>303</v>
      </c>
      <c r="G91" s="9"/>
      <c r="H91" s="9"/>
      <c r="I91" s="9"/>
      <c r="J91" s="9"/>
      <c r="K91" s="9"/>
      <c r="L91" s="9"/>
      <c r="M91" s="9"/>
      <c r="N91" s="9"/>
      <c r="O91" s="9"/>
      <c r="P91" s="9"/>
      <c r="Q91" s="103" cm="1">
        <f t="array" ref="Q91">INDEX($Q$198:$Z$200, MATCH($D$6,$F$199:$F$201,0), (COLUMN()-COLUMN($Q$52)+1))</f>
        <v>79.119589625554369</v>
      </c>
      <c r="R91" s="104" cm="1">
        <f t="array" ref="R91">INDEX($Q$198:$Z$200, MATCH($D$6,$F$199:$F$201,0), (COLUMN()-COLUMN($Q$52)+1))</f>
        <v>80.119589625554369</v>
      </c>
      <c r="S91" s="104" cm="1">
        <f t="array" ref="S91">INDEX($Q$198:$Z$200, MATCH($D$6,$F$199:$F$201,0), (COLUMN()-COLUMN($Q$52)+1))</f>
        <v>81.119589625554369</v>
      </c>
      <c r="T91" s="104" cm="1">
        <f t="array" ref="T91">INDEX($Q$198:$Z$200, MATCH($D$6,$F$199:$F$201,0), (COLUMN()-COLUMN($Q$52)+1))</f>
        <v>82.119589625554369</v>
      </c>
      <c r="U91" s="104" cm="1">
        <f t="array" ref="U91">INDEX($Q$198:$Z$200, MATCH($D$6,$F$199:$F$201,0), (COLUMN()-COLUMN($Q$52)+1))</f>
        <v>83.119589625554369</v>
      </c>
      <c r="V91" s="9"/>
      <c r="W91" s="9"/>
      <c r="X91" s="9"/>
      <c r="Y91" s="9"/>
      <c r="Z91" s="9"/>
    </row>
    <row r="92" spans="6:26">
      <c r="F92" s="1"/>
      <c r="G92" s="9"/>
      <c r="H92" s="9"/>
      <c r="I92" s="9"/>
      <c r="J92" s="9"/>
      <c r="K92" s="9"/>
      <c r="L92" s="9"/>
      <c r="M92" s="9"/>
      <c r="N92" s="9"/>
      <c r="O92" s="9"/>
      <c r="P92" s="9"/>
      <c r="Q92" s="29"/>
      <c r="R92" s="9"/>
      <c r="S92" s="9"/>
      <c r="T92" s="9"/>
      <c r="U92" s="9"/>
      <c r="V92" s="9">
        <f t="shared" ref="V92:Z92" si="68">V93*V5</f>
        <v>0</v>
      </c>
      <c r="W92" s="9">
        <f t="shared" si="68"/>
        <v>0</v>
      </c>
      <c r="X92" s="9">
        <f t="shared" si="68"/>
        <v>0</v>
      </c>
      <c r="Y92" s="9">
        <f t="shared" si="68"/>
        <v>0</v>
      </c>
      <c r="Z92" s="9">
        <f t="shared" si="68"/>
        <v>0</v>
      </c>
    </row>
    <row r="93" spans="6:26">
      <c r="F93" s="1" t="s">
        <v>75</v>
      </c>
      <c r="G93" s="9">
        <f>'Statements Input'!E115</f>
        <v>0</v>
      </c>
      <c r="H93" s="9">
        <f>'Statements Input'!F115</f>
        <v>0</v>
      </c>
      <c r="I93" s="9">
        <f>'Statements Input'!G115</f>
        <v>0</v>
      </c>
      <c r="J93" s="9">
        <f>'Statements Input'!H115</f>
        <v>6554</v>
      </c>
      <c r="K93" s="9">
        <f>'Statements Input'!I115</f>
        <v>6977</v>
      </c>
      <c r="L93" s="9">
        <f>'Statements Input'!J115</f>
        <v>11703</v>
      </c>
      <c r="M93" s="9">
        <f>'Statements Input'!K115</f>
        <v>10167</v>
      </c>
      <c r="N93" s="9">
        <f>'Statements Input'!L115</f>
        <v>11401</v>
      </c>
      <c r="O93" s="9">
        <f>'Statements Input'!M115</f>
        <v>7977</v>
      </c>
      <c r="P93" s="9">
        <f>'Statements Input'!N115</f>
        <v>7977</v>
      </c>
      <c r="Q93" s="29">
        <f>Q94*Q5</f>
        <v>10628.680046529191</v>
      </c>
      <c r="R93" s="9">
        <f>R94*R5</f>
        <v>11374.299278935187</v>
      </c>
      <c r="S93" s="9">
        <f>S94*S5</f>
        <v>12164.181173305684</v>
      </c>
      <c r="T93" s="9">
        <f>T94*T5</f>
        <v>13008.915977007468</v>
      </c>
      <c r="U93" s="9">
        <f>U94*U5</f>
        <v>13912.312919855209</v>
      </c>
      <c r="V93" s="99" cm="1">
        <f t="array" ref="V93">INDEX($Q$203:$Z$205, MATCH($D$6,$F$204:$F$206,0), (COLUMN()-COLUMN($Q$52)+1))</f>
        <v>0</v>
      </c>
      <c r="W93" s="99" cm="1">
        <f t="array" ref="W93">INDEX($Q$203:$Z$205, MATCH($D$6,$F$204:$F$206,0), (COLUMN()-COLUMN($Q$52)+1))</f>
        <v>0</v>
      </c>
      <c r="X93" s="99" cm="1">
        <f t="array" ref="X93">INDEX($Q$203:$Z$205, MATCH($D$6,$F$204:$F$206,0), (COLUMN()-COLUMN($Q$52)+1))</f>
        <v>0</v>
      </c>
      <c r="Y93" s="99" cm="1">
        <f t="array" ref="Y93">INDEX($Q$203:$Z$205, MATCH($D$6,$F$204:$F$206,0), (COLUMN()-COLUMN($Q$52)+1))</f>
        <v>0</v>
      </c>
      <c r="Z93" s="99" cm="1">
        <f t="array" ref="Z93">INDEX($Q$203:$Z$205, MATCH($D$6,$F$204:$F$206,0), (COLUMN()-COLUMN($Q$52)+1))</f>
        <v>0</v>
      </c>
    </row>
    <row r="94" spans="6:26">
      <c r="F94" s="102" t="s">
        <v>148</v>
      </c>
      <c r="G94" s="9"/>
      <c r="H94" s="9"/>
      <c r="I94" s="9"/>
      <c r="J94" s="9"/>
      <c r="K94" s="9"/>
      <c r="L94" s="9"/>
      <c r="M94" s="9"/>
      <c r="N94" s="9"/>
      <c r="O94" s="9"/>
      <c r="P94" s="9"/>
      <c r="Q94" s="99" cm="1">
        <f t="array" ref="Q94">INDEX($Q$203:$Z$205, MATCH($D$6,$F$204:$F$206,0), (COLUMN()-COLUMN($Q$52)+1))</f>
        <v>3.4577135363510376E-2</v>
      </c>
      <c r="R94" s="99" cm="1">
        <f t="array" ref="R94">INDEX($Q$203:$Z$205, MATCH($D$6,$F$204:$F$206,0), (COLUMN()-COLUMN($Q$52)+1))</f>
        <v>3.4599999999999999E-2</v>
      </c>
      <c r="S94" s="99" cm="1">
        <f t="array" ref="S94">INDEX($Q$203:$Z$205, MATCH($D$6,$F$204:$F$206,0), (COLUMN()-COLUMN($Q$52)+1))</f>
        <v>3.4599999999999999E-2</v>
      </c>
      <c r="T94" s="99" cm="1">
        <f t="array" ref="T94">INDEX($Q$203:$Z$205, MATCH($D$6,$F$204:$F$206,0), (COLUMN()-COLUMN($Q$52)+1))</f>
        <v>3.4599999999999999E-2</v>
      </c>
      <c r="U94" s="99" cm="1">
        <f t="array" ref="U94">INDEX($Q$203:$Z$205, MATCH($D$6,$F$204:$F$206,0), (COLUMN()-COLUMN($Q$52)+1))</f>
        <v>3.4599999999999999E-2</v>
      </c>
      <c r="V94" s="9"/>
      <c r="W94" s="9"/>
      <c r="X94" s="9"/>
      <c r="Y94" s="9"/>
      <c r="Z94" s="9"/>
    </row>
    <row r="95" spans="6:26">
      <c r="F95" s="1"/>
      <c r="G95" s="9"/>
      <c r="H95" s="9"/>
      <c r="I95" s="9"/>
      <c r="J95" s="9"/>
      <c r="K95" s="9"/>
      <c r="L95" s="9"/>
      <c r="M95" s="9"/>
      <c r="N95" s="9"/>
      <c r="O95" s="9"/>
      <c r="P95" s="9"/>
      <c r="Q95" s="29"/>
      <c r="R95" s="9"/>
      <c r="S95" s="9"/>
      <c r="T95" s="9"/>
      <c r="U95" s="9"/>
      <c r="V95" s="9">
        <f t="shared" ref="V95:Z95" si="69">V96*V5</f>
        <v>1989.8405661307524</v>
      </c>
      <c r="W95" s="9">
        <f t="shared" si="69"/>
        <v>2128.023938778721</v>
      </c>
      <c r="X95" s="9">
        <f t="shared" si="69"/>
        <v>2275.8033789716878</v>
      </c>
      <c r="Y95" s="9">
        <f t="shared" si="69"/>
        <v>2433.8452802891666</v>
      </c>
      <c r="Z95" s="9">
        <f t="shared" si="69"/>
        <v>2602.8623136425808</v>
      </c>
    </row>
    <row r="96" spans="6:26">
      <c r="F96" s="1" t="s">
        <v>79</v>
      </c>
      <c r="G96" s="9">
        <f>'Statements Input'!E116</f>
        <v>0</v>
      </c>
      <c r="H96" s="9">
        <f>'Statements Input'!F116</f>
        <v>0</v>
      </c>
      <c r="I96" s="9">
        <f>'Statements Input'!G116</f>
        <v>0</v>
      </c>
      <c r="J96" s="9">
        <f>'Statements Input'!H116</f>
        <v>660</v>
      </c>
      <c r="K96" s="9">
        <f>'Statements Input'!I116</f>
        <v>1834</v>
      </c>
      <c r="L96" s="9">
        <f>'Statements Input'!J116</f>
        <v>1730</v>
      </c>
      <c r="M96" s="9">
        <f>'Statements Input'!K116</f>
        <v>1769</v>
      </c>
      <c r="N96" s="9">
        <f>'Statements Input'!L116</f>
        <v>401</v>
      </c>
      <c r="O96" s="9">
        <f>'Statements Input'!M116</f>
        <v>1044</v>
      </c>
      <c r="P96" s="9">
        <f>'Statements Input'!N116</f>
        <v>1025</v>
      </c>
      <c r="Q96" s="29">
        <f>Q97*Q5</f>
        <v>1422.4176635282615</v>
      </c>
      <c r="R96" s="9">
        <f>R97*R5</f>
        <v>1521.1966679399466</v>
      </c>
      <c r="S96" s="9">
        <f>S97*S5</f>
        <v>1626.835325435776</v>
      </c>
      <c r="T96" s="9">
        <f>T97*T5</f>
        <v>1739.8100008132606</v>
      </c>
      <c r="U96" s="9">
        <f>U97*U5</f>
        <v>1860.6301397586258</v>
      </c>
      <c r="V96" s="99" cm="1">
        <f t="array" ref="V96">INDEX($Q$208:$Z$210, MATCH($D$6,$F$209:$F$211,0), (COLUMN()-COLUMN($Q$52)+1))</f>
        <v>4.6273975583003531E-3</v>
      </c>
      <c r="W96" s="99" cm="1">
        <f t="array" ref="W96">INDEX($Q$208:$Z$210, MATCH($D$6,$F$209:$F$211,0), (COLUMN()-COLUMN($Q$52)+1))</f>
        <v>4.6273975583003531E-3</v>
      </c>
      <c r="X96" s="99" cm="1">
        <f t="array" ref="X96">INDEX($Q$208:$Z$210, MATCH($D$6,$F$209:$F$211,0), (COLUMN()-COLUMN($Q$52)+1))</f>
        <v>4.6273975583003531E-3</v>
      </c>
      <c r="Y96" s="99" cm="1">
        <f t="array" ref="Y96">INDEX($Q$208:$Z$210, MATCH($D$6,$F$209:$F$211,0), (COLUMN()-COLUMN($Q$52)+1))</f>
        <v>4.6273975583003531E-3</v>
      </c>
      <c r="Z96" s="99" cm="1">
        <f t="array" ref="Z96">INDEX($Q$208:$Z$210, MATCH($D$6,$F$209:$F$211,0), (COLUMN()-COLUMN($Q$52)+1))</f>
        <v>4.6273975583003531E-3</v>
      </c>
    </row>
    <row r="97" spans="1:50">
      <c r="F97" s="102" t="s">
        <v>149</v>
      </c>
      <c r="G97" s="9"/>
      <c r="H97" s="9"/>
      <c r="I97" s="9"/>
      <c r="J97" s="9"/>
      <c r="K97" s="9"/>
      <c r="L97" s="9"/>
      <c r="M97" s="9"/>
      <c r="N97" s="9"/>
      <c r="O97" s="9"/>
      <c r="P97" s="9"/>
      <c r="Q97" s="99" cm="1">
        <f t="array" ref="Q97">INDEX($Q$208:$Z$210, MATCH($D$6,$F$209:$F$211,0), (COLUMN()-COLUMN($Q$52)+1))</f>
        <v>4.6273975583003531E-3</v>
      </c>
      <c r="R97" s="99" cm="1">
        <f t="array" ref="R97">INDEX($Q$208:$Z$210, MATCH($D$6,$F$209:$F$211,0), (COLUMN()-COLUMN($Q$52)+1))</f>
        <v>4.6273975583003531E-3</v>
      </c>
      <c r="S97" s="99" cm="1">
        <f t="array" ref="S97">INDEX($Q$208:$Z$210, MATCH($D$6,$F$209:$F$211,0), (COLUMN()-COLUMN($Q$52)+1))</f>
        <v>4.6273975583003531E-3</v>
      </c>
      <c r="T97" s="99" cm="1">
        <f t="array" ref="T97">INDEX($Q$208:$Z$210, MATCH($D$6,$F$209:$F$211,0), (COLUMN()-COLUMN($Q$52)+1))</f>
        <v>4.6273975583003531E-3</v>
      </c>
      <c r="U97" s="99" cm="1">
        <f t="array" ref="U97">INDEX($Q$208:$Z$210, MATCH($D$6,$F$209:$F$211,0), (COLUMN()-COLUMN($Q$52)+1))</f>
        <v>4.6273975583003531E-3</v>
      </c>
      <c r="V97" s="9"/>
      <c r="W97" s="9"/>
      <c r="X97" s="9"/>
      <c r="Y97" s="9"/>
      <c r="Z97" s="9"/>
    </row>
    <row r="98" spans="1:50">
      <c r="F98" s="1"/>
      <c r="G98" s="9"/>
      <c r="H98" s="9"/>
      <c r="I98" s="9"/>
      <c r="J98" s="9"/>
      <c r="K98" s="9"/>
      <c r="L98" s="9"/>
      <c r="M98" s="9"/>
      <c r="N98" s="9"/>
      <c r="O98" s="9"/>
      <c r="P98" s="9"/>
      <c r="Q98" s="29"/>
      <c r="R98" s="9"/>
      <c r="S98" s="9"/>
      <c r="T98" s="9"/>
      <c r="U98" s="9"/>
      <c r="V98" s="9">
        <f>U86-V85+U77-V76+U80-V79+U83-V82+V89-U90+V92-U93+V95-U96</f>
        <v>-25090.684588138258</v>
      </c>
      <c r="W98" s="9">
        <f>V85-W85+V76-W76+V79-W79+V82-W82+W89-V89+W92-V92+W95-V95</f>
        <v>-4032.265525620895</v>
      </c>
      <c r="X98" s="9">
        <f>W85-X85+W76-X76+W79-X79+W82-X82+X89-W89+X92-W92+X95-W95</f>
        <v>-4301.4345573194705</v>
      </c>
      <c r="Y98" s="9">
        <f>X85-Y85+X76-Y76+X79-Y79+X82-Y82+Y89-X89+Y92-X92+Y95-X95</f>
        <v>-4588.5424518039626</v>
      </c>
      <c r="Z98" s="9">
        <f>Y85-Z85+Y76-Z76+Y79-Z79+Y82-Z82+Z89-Y89+Z92-Y92+Z95-Y95</f>
        <v>-4894.7826418317318</v>
      </c>
    </row>
    <row r="99" spans="1:50">
      <c r="F99" s="42" t="s">
        <v>44</v>
      </c>
      <c r="G99" s="9"/>
      <c r="H99" s="9">
        <f t="shared" ref="H99:U99" si="70">G86-H86+G77-H77+G80-H80+G83-H83+H90-G90+H93-G93+H96-G96</f>
        <v>0</v>
      </c>
      <c r="I99" s="9">
        <f t="shared" si="70"/>
        <v>0</v>
      </c>
      <c r="J99" s="9">
        <f t="shared" si="70"/>
        <v>-24444</v>
      </c>
      <c r="K99" s="9">
        <f t="shared" si="70"/>
        <v>1648</v>
      </c>
      <c r="L99" s="9">
        <f t="shared" si="70"/>
        <v>-1434</v>
      </c>
      <c r="M99" s="9">
        <f t="shared" si="70"/>
        <v>-10174</v>
      </c>
      <c r="N99" s="9">
        <f t="shared" si="70"/>
        <v>4989</v>
      </c>
      <c r="O99" s="9">
        <f t="shared" si="70"/>
        <v>-1665</v>
      </c>
      <c r="P99" s="9">
        <f t="shared" si="70"/>
        <v>-1202</v>
      </c>
      <c r="Q99" s="29">
        <f t="shared" si="70"/>
        <v>1156.503766508336</v>
      </c>
      <c r="R99" s="9">
        <f t="shared" si="70"/>
        <v>-1033.5686853782968</v>
      </c>
      <c r="S99" s="9">
        <f t="shared" si="70"/>
        <v>-1035.0546526198389</v>
      </c>
      <c r="T99" s="9">
        <f t="shared" si="70"/>
        <v>-1023.724160126513</v>
      </c>
      <c r="U99" s="9">
        <f t="shared" si="70"/>
        <v>-1005.8284051118144</v>
      </c>
    </row>
    <row r="100" spans="1:50">
      <c r="Q100" s="19"/>
      <c r="V100" s="39">
        <f>U101+1</f>
        <v>2031</v>
      </c>
      <c r="W100" s="39">
        <f t="shared" ref="R100:Z101" si="71">V100+1</f>
        <v>2032</v>
      </c>
      <c r="X100" s="39">
        <f t="shared" si="71"/>
        <v>2033</v>
      </c>
      <c r="Y100" s="39">
        <f t="shared" si="71"/>
        <v>2034</v>
      </c>
      <c r="Z100" s="39">
        <f t="shared" si="71"/>
        <v>2035</v>
      </c>
    </row>
    <row r="101" spans="1:50">
      <c r="F101" s="11" t="s">
        <v>114</v>
      </c>
      <c r="G101" s="23">
        <f>'Statements Input'!E11</f>
        <v>2016</v>
      </c>
      <c r="H101" s="23">
        <f>'Statements Input'!F11</f>
        <v>2017</v>
      </c>
      <c r="I101" s="23">
        <f>'Statements Input'!G11</f>
        <v>2018</v>
      </c>
      <c r="J101" s="23">
        <f>'Statements Input'!H11</f>
        <v>2019</v>
      </c>
      <c r="K101" s="23">
        <f>'Statements Input'!I11</f>
        <v>2020</v>
      </c>
      <c r="L101" s="23">
        <f>'Statements Input'!J11</f>
        <v>2021</v>
      </c>
      <c r="M101" s="23">
        <f>'Statements Input'!K11</f>
        <v>2022</v>
      </c>
      <c r="N101" s="23">
        <f>'Statements Input'!L11</f>
        <v>2023</v>
      </c>
      <c r="O101" s="23">
        <f>'Statements Input'!M11</f>
        <v>2024</v>
      </c>
      <c r="P101" s="23">
        <f>'Statements Input'!N11</f>
        <v>2025</v>
      </c>
      <c r="Q101" s="38">
        <f>P101+1</f>
        <v>2026</v>
      </c>
      <c r="R101" s="39">
        <f t="shared" si="71"/>
        <v>2027</v>
      </c>
      <c r="S101" s="39">
        <f t="shared" si="71"/>
        <v>2028</v>
      </c>
      <c r="T101" s="39">
        <f t="shared" si="71"/>
        <v>2029</v>
      </c>
      <c r="U101" s="39">
        <f t="shared" si="71"/>
        <v>2030</v>
      </c>
    </row>
    <row r="102" spans="1:50" s="45" customForma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 s="19"/>
      <c r="R102"/>
      <c r="S102"/>
      <c r="T102"/>
      <c r="U102"/>
      <c r="V102" s="40"/>
      <c r="W102" s="40"/>
      <c r="X102" s="40"/>
      <c r="Y102" s="40"/>
      <c r="Z102" s="40"/>
      <c r="AA102"/>
      <c r="AB102"/>
      <c r="AC102"/>
      <c r="AD102"/>
      <c r="AE102" s="2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</row>
    <row r="103" spans="1:50" s="45" customFormat="1">
      <c r="A103"/>
      <c r="B103"/>
      <c r="C103"/>
      <c r="D103" s="9"/>
      <c r="E103"/>
      <c r="F103" s="40" t="s">
        <v>109</v>
      </c>
      <c r="G103" s="85" t="s">
        <v>97</v>
      </c>
      <c r="H103" s="85" t="str">
        <f t="shared" ref="H103:P103" si="72">IFERROR((H5/G5)-1,"-")</f>
        <v>-</v>
      </c>
      <c r="I103" s="85" t="str">
        <f t="shared" si="72"/>
        <v>-</v>
      </c>
      <c r="J103" s="85" t="str">
        <f t="shared" si="72"/>
        <v>-</v>
      </c>
      <c r="K103" s="85">
        <f t="shared" si="72"/>
        <v>2.1234561324063428E-2</v>
      </c>
      <c r="L103" s="85">
        <f t="shared" si="72"/>
        <v>0.14970286355198703</v>
      </c>
      <c r="M103" s="85">
        <f t="shared" si="72"/>
        <v>9.8183124421000967E-2</v>
      </c>
      <c r="N103" s="85">
        <f t="shared" si="72"/>
        <v>-3.345717227155498E-2</v>
      </c>
      <c r="O103" s="85">
        <f t="shared" si="72"/>
        <v>-3.6930826392698624E-2</v>
      </c>
      <c r="P103" s="85">
        <f t="shared" si="72"/>
        <v>6.3189160597306504E-2</v>
      </c>
      <c r="Q103" s="41"/>
      <c r="R103" s="40"/>
      <c r="S103" s="40"/>
      <c r="T103" s="40"/>
      <c r="U103" s="40"/>
      <c r="V103" s="28">
        <f t="shared" ref="S103:Z104" si="73">$AE$102+V161</f>
        <v>6.9444444444444448E-2</v>
      </c>
      <c r="W103" s="28">
        <f t="shared" si="73"/>
        <v>6.9444444444444461E-2</v>
      </c>
      <c r="X103" s="28">
        <f t="shared" si="73"/>
        <v>6.9444444444444448E-2</v>
      </c>
      <c r="Y103" s="28">
        <f t="shared" si="73"/>
        <v>6.9444444444444461E-2</v>
      </c>
      <c r="Z103" s="28">
        <f t="shared" si="73"/>
        <v>6.9444444444444461E-2</v>
      </c>
      <c r="AA103"/>
      <c r="AB103"/>
      <c r="AC103"/>
      <c r="AD103"/>
      <c r="AE103" s="46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</row>
    <row r="104" spans="1:50" s="45" customFormat="1">
      <c r="A104"/>
      <c r="B104"/>
      <c r="C104"/>
      <c r="D104" s="9"/>
      <c r="E104"/>
      <c r="F104" s="1" t="s">
        <v>298</v>
      </c>
      <c r="G104" s="24"/>
      <c r="H104" s="24"/>
      <c r="I104" s="24"/>
      <c r="J104" s="24"/>
      <c r="K104" s="24"/>
      <c r="L104" s="24"/>
      <c r="M104" s="24"/>
      <c r="N104" s="24"/>
      <c r="O104" s="24"/>
      <c r="P104" s="24"/>
      <c r="Q104" s="28">
        <f>$AE$102+Q162</f>
        <v>6.9444444444444448E-2</v>
      </c>
      <c r="R104" s="28">
        <f>$AE$102+R162</f>
        <v>6.9444444444444448E-2</v>
      </c>
      <c r="S104" s="28">
        <f t="shared" si="73"/>
        <v>6.9444444444444461E-2</v>
      </c>
      <c r="T104" s="28">
        <f t="shared" si="73"/>
        <v>6.9444444444444448E-2</v>
      </c>
      <c r="U104" s="28">
        <f t="shared" si="73"/>
        <v>6.9444444444444461E-2</v>
      </c>
      <c r="V104" s="32">
        <f t="shared" ref="R104:Z105" si="74">V161+0%</f>
        <v>6.9444444444444448E-2</v>
      </c>
      <c r="W104" s="32">
        <f t="shared" si="74"/>
        <v>6.9444444444444461E-2</v>
      </c>
      <c r="X104" s="32">
        <f t="shared" si="74"/>
        <v>6.9444444444444448E-2</v>
      </c>
      <c r="Y104" s="32">
        <f t="shared" si="74"/>
        <v>6.9444444444444461E-2</v>
      </c>
      <c r="Z104" s="32">
        <f t="shared" si="74"/>
        <v>6.9444444444444461E-2</v>
      </c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</row>
    <row r="105" spans="1:50" s="45" customFormat="1">
      <c r="A105"/>
      <c r="B105"/>
      <c r="C105"/>
      <c r="D105" s="9"/>
      <c r="E105"/>
      <c r="F105" s="1" t="s">
        <v>283</v>
      </c>
      <c r="G105" s="24"/>
      <c r="H105" s="24"/>
      <c r="I105" s="24"/>
      <c r="J105" s="24"/>
      <c r="K105" s="24"/>
      <c r="L105" s="24"/>
      <c r="M105" s="24"/>
      <c r="N105" s="24"/>
      <c r="O105" s="24"/>
      <c r="P105" s="24"/>
      <c r="Q105" s="32">
        <f>Q162+0%</f>
        <v>6.9444444444444448E-2</v>
      </c>
      <c r="R105" s="32">
        <f t="shared" si="74"/>
        <v>6.9444444444444448E-2</v>
      </c>
      <c r="S105" s="32">
        <f t="shared" si="74"/>
        <v>6.9444444444444461E-2</v>
      </c>
      <c r="T105" s="32">
        <f t="shared" si="74"/>
        <v>6.9444444444444448E-2</v>
      </c>
      <c r="U105" s="32">
        <f t="shared" si="74"/>
        <v>6.9444444444444461E-2</v>
      </c>
      <c r="V105" s="32">
        <f>V104+1.75%+$AE$103</f>
        <v>8.6944444444444449E-2</v>
      </c>
      <c r="W105" s="32">
        <f>W104+2%+$AE$103</f>
        <v>8.9444444444444465E-2</v>
      </c>
      <c r="X105" s="32">
        <f t="shared" ref="X105:Z105" si="75">X104+2%+$AE$103</f>
        <v>8.9444444444444451E-2</v>
      </c>
      <c r="Y105" s="32">
        <f t="shared" si="75"/>
        <v>8.9444444444444465E-2</v>
      </c>
      <c r="Z105" s="32">
        <f t="shared" si="75"/>
        <v>8.9444444444444465E-2</v>
      </c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</row>
    <row r="106" spans="1:50" s="45" customFormat="1">
      <c r="A106"/>
      <c r="B106"/>
      <c r="C106"/>
      <c r="D106"/>
      <c r="E106"/>
      <c r="F106" s="1" t="s">
        <v>284</v>
      </c>
      <c r="G106" s="24"/>
      <c r="H106" s="24"/>
      <c r="I106" s="24"/>
      <c r="J106" s="24"/>
      <c r="K106" s="24"/>
      <c r="L106" s="24"/>
      <c r="M106" s="24"/>
      <c r="N106" s="24"/>
      <c r="O106" s="24"/>
      <c r="P106" s="24"/>
      <c r="Q106" s="32">
        <f>Q105+$AE$103</f>
        <v>6.9444444444444448E-2</v>
      </c>
      <c r="R106" s="32">
        <f t="shared" ref="R106:U106" si="76">R105+$AE$103</f>
        <v>6.9444444444444448E-2</v>
      </c>
      <c r="S106" s="32">
        <f t="shared" si="76"/>
        <v>6.9444444444444461E-2</v>
      </c>
      <c r="T106" s="32">
        <f t="shared" si="76"/>
        <v>6.9444444444444448E-2</v>
      </c>
      <c r="U106" s="32">
        <f t="shared" si="76"/>
        <v>6.9444444444444461E-2</v>
      </c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</row>
    <row r="107" spans="1:50" s="45" customFormat="1">
      <c r="A107"/>
      <c r="B107"/>
      <c r="C107"/>
      <c r="D107"/>
      <c r="E107"/>
      <c r="F107"/>
      <c r="G107" s="24"/>
      <c r="H107" s="24"/>
      <c r="I107" s="24"/>
      <c r="J107" s="24"/>
      <c r="K107" s="24"/>
      <c r="L107" s="24"/>
      <c r="M107" s="24"/>
      <c r="N107" s="24"/>
      <c r="O107" s="24"/>
      <c r="P107" s="24"/>
      <c r="Q107" s="19"/>
      <c r="R107"/>
      <c r="S107"/>
      <c r="T107"/>
      <c r="U107"/>
      <c r="V107" s="40"/>
      <c r="W107" s="40"/>
      <c r="X107" s="40"/>
      <c r="Y107" s="40"/>
      <c r="Z107" s="40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</row>
    <row r="108" spans="1:50" s="45" customFormat="1">
      <c r="A108"/>
      <c r="B108"/>
      <c r="C108"/>
      <c r="D108"/>
      <c r="E108"/>
      <c r="F108" s="40" t="s">
        <v>110</v>
      </c>
      <c r="G108" s="85" t="str">
        <f t="shared" ref="G108:P108" si="77">IFERROR(-G8/G5,"-")</f>
        <v>-</v>
      </c>
      <c r="H108" s="85" t="str">
        <f t="shared" si="77"/>
        <v>-</v>
      </c>
      <c r="I108" s="85" t="str">
        <f t="shared" si="77"/>
        <v>-</v>
      </c>
      <c r="J108" s="85">
        <f t="shared" si="77"/>
        <v>0.68039388046846561</v>
      </c>
      <c r="K108" s="85">
        <f t="shared" si="77"/>
        <v>0.66723326189306564</v>
      </c>
      <c r="L108" s="85">
        <f t="shared" si="77"/>
        <v>0.66170570774960769</v>
      </c>
      <c r="M108" s="85">
        <f t="shared" si="77"/>
        <v>0.66237419559206834</v>
      </c>
      <c r="N108" s="85">
        <f t="shared" si="77"/>
        <v>0.6235278610970596</v>
      </c>
      <c r="O108" s="85">
        <f t="shared" si="77"/>
        <v>0.61056715998328071</v>
      </c>
      <c r="P108" s="85">
        <f t="shared" si="77"/>
        <v>0.61973350033051522</v>
      </c>
      <c r="Q108" s="86"/>
      <c r="R108" s="40"/>
      <c r="S108" s="40"/>
      <c r="T108" s="40"/>
      <c r="U108" s="40"/>
      <c r="V108" s="28">
        <f>U109-0.1%</f>
        <v>0.61373350033051521</v>
      </c>
      <c r="W108" s="28">
        <f t="shared" ref="T108:Z109" si="78">V108-0.1%</f>
        <v>0.61273350033051521</v>
      </c>
      <c r="X108" s="28">
        <f t="shared" si="78"/>
        <v>0.61173350033051521</v>
      </c>
      <c r="Y108" s="28">
        <f t="shared" si="78"/>
        <v>0.61073350033051521</v>
      </c>
      <c r="Z108" s="28">
        <f t="shared" si="78"/>
        <v>0.60973350033051521</v>
      </c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</row>
    <row r="109" spans="1:50">
      <c r="F109" s="1" t="s">
        <v>298</v>
      </c>
      <c r="G109" s="24"/>
      <c r="H109" s="24"/>
      <c r="I109" s="24"/>
      <c r="J109" s="24"/>
      <c r="K109" s="24"/>
      <c r="L109" s="24"/>
      <c r="M109" s="24"/>
      <c r="N109" s="24"/>
      <c r="O109" s="24"/>
      <c r="P109" s="24"/>
      <c r="Q109" s="32">
        <f>P108-0.1%</f>
        <v>0.61873350033051522</v>
      </c>
      <c r="R109" s="28">
        <f>Q109-0.1%</f>
        <v>0.61773350033051522</v>
      </c>
      <c r="S109" s="28">
        <f>R109-0.1%</f>
        <v>0.61673350033051522</v>
      </c>
      <c r="T109" s="28">
        <f t="shared" si="78"/>
        <v>0.61573350033051522</v>
      </c>
      <c r="U109" s="28">
        <f t="shared" si="78"/>
        <v>0.61473350033051521</v>
      </c>
      <c r="V109" s="32">
        <v>0.62</v>
      </c>
      <c r="W109" s="32">
        <v>0.62</v>
      </c>
      <c r="X109" s="32">
        <v>0.62</v>
      </c>
      <c r="Y109" s="32">
        <v>0.62</v>
      </c>
      <c r="Z109" s="32">
        <v>0.62</v>
      </c>
    </row>
    <row r="110" spans="1:50">
      <c r="F110" s="1" t="s">
        <v>283</v>
      </c>
      <c r="G110" s="24"/>
      <c r="H110" s="24"/>
      <c r="I110" s="24"/>
      <c r="J110" s="24"/>
      <c r="K110" s="24"/>
      <c r="L110" s="24"/>
      <c r="M110" s="24"/>
      <c r="N110" s="24"/>
      <c r="O110" s="24"/>
      <c r="P110" s="24"/>
      <c r="Q110" s="32">
        <v>0.62</v>
      </c>
      <c r="R110" s="32">
        <v>0.62</v>
      </c>
      <c r="S110" s="32">
        <v>0.62</v>
      </c>
      <c r="T110" s="32">
        <v>0.62</v>
      </c>
      <c r="U110" s="32">
        <v>0.62</v>
      </c>
      <c r="V110" s="32">
        <f>U111+0.1%</f>
        <v>0.625</v>
      </c>
      <c r="W110" s="32">
        <f t="shared" ref="S110:Z111" si="79">V110+0.1%</f>
        <v>0.626</v>
      </c>
      <c r="X110" s="32">
        <f t="shared" si="79"/>
        <v>0.627</v>
      </c>
      <c r="Y110" s="32">
        <f t="shared" si="79"/>
        <v>0.628</v>
      </c>
      <c r="Z110" s="32">
        <f t="shared" si="79"/>
        <v>0.629</v>
      </c>
    </row>
    <row r="111" spans="1:50">
      <c r="F111" s="1" t="s">
        <v>284</v>
      </c>
      <c r="G111" s="24"/>
      <c r="H111" s="24"/>
      <c r="I111" s="24"/>
      <c r="J111" s="24"/>
      <c r="K111" s="24"/>
      <c r="L111" s="24"/>
      <c r="M111" s="24"/>
      <c r="N111" s="24"/>
      <c r="O111" s="24"/>
      <c r="P111" s="24"/>
      <c r="Q111" s="32">
        <v>0.62</v>
      </c>
      <c r="R111" s="32">
        <f>Q111+0.1%</f>
        <v>0.621</v>
      </c>
      <c r="S111" s="32">
        <f t="shared" si="79"/>
        <v>0.622</v>
      </c>
      <c r="T111" s="32">
        <f t="shared" si="79"/>
        <v>0.623</v>
      </c>
      <c r="U111" s="32">
        <f t="shared" si="79"/>
        <v>0.624</v>
      </c>
    </row>
    <row r="112" spans="1:50">
      <c r="F112" s="1"/>
      <c r="G112" s="24"/>
      <c r="H112" s="24"/>
      <c r="I112" s="24"/>
      <c r="J112" s="24"/>
      <c r="K112" s="24"/>
      <c r="L112" s="24"/>
      <c r="M112" s="24"/>
      <c r="N112" s="24"/>
      <c r="O112" s="24"/>
      <c r="P112" s="24"/>
      <c r="Q112" s="84"/>
      <c r="V112" s="40"/>
      <c r="W112" s="40"/>
      <c r="X112" s="40"/>
      <c r="Y112" s="40"/>
      <c r="Z112" s="40"/>
      <c r="AD112" s="9"/>
    </row>
    <row r="113" spans="6:26">
      <c r="F113" s="40" t="s">
        <v>112</v>
      </c>
      <c r="G113" s="85" t="str">
        <f t="shared" ref="G113:P113" si="80">IFERROR(-G12/G5, "-")</f>
        <v>-</v>
      </c>
      <c r="H113" s="85" t="str">
        <f t="shared" si="80"/>
        <v>-</v>
      </c>
      <c r="I113" s="85" t="str">
        <f t="shared" si="80"/>
        <v>-</v>
      </c>
      <c r="J113" s="85">
        <f t="shared" si="80"/>
        <v>0.15510597302504817</v>
      </c>
      <c r="K113" s="85">
        <f t="shared" si="80"/>
        <v>0.15227210482156597</v>
      </c>
      <c r="L113" s="85">
        <f t="shared" si="80"/>
        <v>0.15200877242735333</v>
      </c>
      <c r="M113" s="85">
        <f t="shared" si="80"/>
        <v>0.15098250531107216</v>
      </c>
      <c r="N113" s="85">
        <f t="shared" si="80"/>
        <v>0.17336149960457975</v>
      </c>
      <c r="O113" s="85">
        <f t="shared" si="80"/>
        <v>0.17982074888939031</v>
      </c>
      <c r="P113" s="85">
        <f t="shared" si="80"/>
        <v>0.17599999999999999</v>
      </c>
      <c r="Q113" s="41"/>
      <c r="R113" s="40"/>
      <c r="S113" s="40"/>
      <c r="T113" s="40"/>
      <c r="U113" s="40"/>
      <c r="V113" s="32">
        <f>U114-0.1%</f>
        <v>0.16999999999999998</v>
      </c>
      <c r="W113" s="32">
        <f t="shared" ref="S113:Z114" si="81">V113-0.1%</f>
        <v>0.16899999999999998</v>
      </c>
      <c r="X113" s="32">
        <f t="shared" si="81"/>
        <v>0.16799999999999998</v>
      </c>
      <c r="Y113" s="32">
        <f t="shared" si="81"/>
        <v>0.16699999999999998</v>
      </c>
      <c r="Z113" s="32">
        <f t="shared" si="81"/>
        <v>0.16599999999999998</v>
      </c>
    </row>
    <row r="114" spans="6:26">
      <c r="F114" s="1" t="s">
        <v>298</v>
      </c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32">
        <f>P113-0.1%</f>
        <v>0.17499999999999999</v>
      </c>
      <c r="R114" s="32">
        <f>Q114-0.1%</f>
        <v>0.17399999999999999</v>
      </c>
      <c r="S114" s="32">
        <f t="shared" si="81"/>
        <v>0.17299999999999999</v>
      </c>
      <c r="T114" s="32">
        <f t="shared" si="81"/>
        <v>0.17199999999999999</v>
      </c>
      <c r="U114" s="32">
        <f t="shared" si="81"/>
        <v>0.17099999999999999</v>
      </c>
      <c r="V114" s="32">
        <f t="shared" ref="R114:Z115" si="82">17.6%</f>
        <v>0.17600000000000002</v>
      </c>
      <c r="W114" s="32">
        <f t="shared" si="82"/>
        <v>0.17600000000000002</v>
      </c>
      <c r="X114" s="32">
        <f t="shared" si="82"/>
        <v>0.17600000000000002</v>
      </c>
      <c r="Y114" s="32">
        <f t="shared" si="82"/>
        <v>0.17600000000000002</v>
      </c>
      <c r="Z114" s="32">
        <f t="shared" si="82"/>
        <v>0.17600000000000002</v>
      </c>
    </row>
    <row r="115" spans="6:26">
      <c r="F115" s="1" t="s">
        <v>283</v>
      </c>
      <c r="G115" s="24"/>
      <c r="H115" s="24"/>
      <c r="I115" s="24"/>
      <c r="J115" s="24"/>
      <c r="K115" s="24"/>
      <c r="L115" s="24"/>
      <c r="M115" s="24"/>
      <c r="N115" s="24"/>
      <c r="O115" s="24"/>
      <c r="P115" s="24"/>
      <c r="Q115" s="32">
        <f>17.6%</f>
        <v>0.17600000000000002</v>
      </c>
      <c r="R115" s="32">
        <f t="shared" si="82"/>
        <v>0.17600000000000002</v>
      </c>
      <c r="S115" s="32">
        <f t="shared" si="82"/>
        <v>0.17600000000000002</v>
      </c>
      <c r="T115" s="32">
        <f t="shared" si="82"/>
        <v>0.17600000000000002</v>
      </c>
      <c r="U115" s="32">
        <f t="shared" si="82"/>
        <v>0.17600000000000002</v>
      </c>
      <c r="V115" s="28">
        <f>U116+0.1%</f>
        <v>0.182</v>
      </c>
      <c r="W115" s="28">
        <f t="shared" ref="S115:Z116" si="83">V115+0.1%</f>
        <v>0.183</v>
      </c>
      <c r="X115" s="28">
        <f t="shared" si="83"/>
        <v>0.184</v>
      </c>
      <c r="Y115" s="28">
        <f t="shared" si="83"/>
        <v>0.185</v>
      </c>
      <c r="Z115" s="28">
        <f t="shared" si="83"/>
        <v>0.186</v>
      </c>
    </row>
    <row r="116" spans="6:26">
      <c r="F116" s="1" t="s">
        <v>284</v>
      </c>
      <c r="G116" s="24"/>
      <c r="H116" s="24"/>
      <c r="I116" s="24"/>
      <c r="J116" s="24"/>
      <c r="K116" s="24"/>
      <c r="L116" s="24"/>
      <c r="M116" s="24"/>
      <c r="N116" s="24"/>
      <c r="O116" s="24"/>
      <c r="P116" s="24"/>
      <c r="Q116" s="32">
        <f>P113+0.1%</f>
        <v>0.17699999999999999</v>
      </c>
      <c r="R116" s="28">
        <f>Q116+0.1%</f>
        <v>0.17799999999999999</v>
      </c>
      <c r="S116" s="28">
        <f t="shared" si="83"/>
        <v>0.17899999999999999</v>
      </c>
      <c r="T116" s="28">
        <f t="shared" si="83"/>
        <v>0.18</v>
      </c>
      <c r="U116" s="28">
        <f t="shared" si="83"/>
        <v>0.18099999999999999</v>
      </c>
    </row>
    <row r="117" spans="6:26">
      <c r="G117" s="24"/>
      <c r="H117" s="24"/>
      <c r="I117" s="24"/>
      <c r="J117" s="24"/>
      <c r="K117" s="24"/>
      <c r="L117" s="24"/>
      <c r="M117" s="24"/>
      <c r="N117" s="24"/>
      <c r="O117" s="24"/>
      <c r="P117" s="24"/>
      <c r="Q117" s="84"/>
      <c r="V117" s="40"/>
      <c r="W117" s="40"/>
      <c r="X117" s="40"/>
      <c r="Y117" s="40"/>
      <c r="Z117" s="40"/>
    </row>
    <row r="118" spans="6:26">
      <c r="F118" s="40" t="s">
        <v>113</v>
      </c>
      <c r="G118" s="85" t="str">
        <f t="shared" ref="G118:P118" si="84">IFERROR(-G15/G5, "-")</f>
        <v>-</v>
      </c>
      <c r="H118" s="85" t="str">
        <f t="shared" si="84"/>
        <v>-</v>
      </c>
      <c r="I118" s="85" t="str">
        <f t="shared" si="84"/>
        <v>-</v>
      </c>
      <c r="J118" s="85">
        <f t="shared" si="84"/>
        <v>5.4846700940305269E-2</v>
      </c>
      <c r="K118" s="85">
        <f t="shared" si="84"/>
        <v>7.0212886201305058E-2</v>
      </c>
      <c r="L118" s="85">
        <f t="shared" si="84"/>
        <v>5.3750023632616793E-2</v>
      </c>
      <c r="M118" s="85">
        <f t="shared" si="84"/>
        <v>6.9186829229662128E-2</v>
      </c>
      <c r="N118" s="85">
        <f t="shared" si="84"/>
        <v>7.6020433608583821E-2</v>
      </c>
      <c r="O118" s="85">
        <f t="shared" si="84"/>
        <v>6.6551506027438811E-2</v>
      </c>
      <c r="P118" s="85">
        <f t="shared" si="84"/>
        <v>7.7355808370733747E-2</v>
      </c>
      <c r="Q118" s="86"/>
      <c r="R118" s="40"/>
      <c r="S118" s="40"/>
      <c r="T118" s="40"/>
      <c r="U118" s="40"/>
      <c r="V118" s="28">
        <f>U119</f>
        <v>6.8572920173807062E-2</v>
      </c>
      <c r="W118" s="28">
        <f>V118</f>
        <v>6.8572920173807062E-2</v>
      </c>
      <c r="X118" s="28">
        <f>W118</f>
        <v>6.8572920173807062E-2</v>
      </c>
      <c r="Y118" s="28">
        <f>X118</f>
        <v>6.8572920173807062E-2</v>
      </c>
      <c r="Z118" s="28">
        <f>Y118</f>
        <v>6.8572920173807062E-2</v>
      </c>
    </row>
    <row r="119" spans="6:26">
      <c r="F119" s="34" t="s">
        <v>298</v>
      </c>
      <c r="G119" s="24"/>
      <c r="H119" s="24"/>
      <c r="I119" s="24"/>
      <c r="J119" s="24"/>
      <c r="K119" s="24"/>
      <c r="L119" s="24"/>
      <c r="M119" s="24"/>
      <c r="N119" s="24"/>
      <c r="O119" s="24"/>
      <c r="P119" s="24"/>
      <c r="Q119" s="32">
        <f>AVERAGE(L118:P118)</f>
        <v>6.8572920173807062E-2</v>
      </c>
      <c r="R119" s="28">
        <f>Q119</f>
        <v>6.8572920173807062E-2</v>
      </c>
      <c r="S119" s="28">
        <f>R119</f>
        <v>6.8572920173807062E-2</v>
      </c>
      <c r="T119" s="28">
        <f>S119</f>
        <v>6.8572920173807062E-2</v>
      </c>
      <c r="U119" s="28">
        <f>T119</f>
        <v>6.8572920173807062E-2</v>
      </c>
      <c r="V119" s="32">
        <f t="shared" ref="R119:Z121" si="85">V118</f>
        <v>6.8572920173807062E-2</v>
      </c>
      <c r="W119" s="32">
        <f t="shared" si="85"/>
        <v>6.8572920173807062E-2</v>
      </c>
      <c r="X119" s="32">
        <f t="shared" si="85"/>
        <v>6.8572920173807062E-2</v>
      </c>
      <c r="Y119" s="32">
        <f t="shared" si="85"/>
        <v>6.8572920173807062E-2</v>
      </c>
      <c r="Z119" s="32">
        <f t="shared" si="85"/>
        <v>6.8572920173807062E-2</v>
      </c>
    </row>
    <row r="120" spans="6:26">
      <c r="F120" s="1" t="s">
        <v>283</v>
      </c>
      <c r="G120" s="24"/>
      <c r="H120" s="24"/>
      <c r="I120" s="24"/>
      <c r="J120" s="24"/>
      <c r="K120" s="24"/>
      <c r="L120" s="24"/>
      <c r="M120" s="24"/>
      <c r="N120" s="24"/>
      <c r="O120" s="24"/>
      <c r="P120" s="24"/>
      <c r="Q120" s="32">
        <f>Q119</f>
        <v>6.8572920173807062E-2</v>
      </c>
      <c r="R120" s="32">
        <f t="shared" si="85"/>
        <v>6.8572920173807062E-2</v>
      </c>
      <c r="S120" s="32">
        <f t="shared" si="85"/>
        <v>6.8572920173807062E-2</v>
      </c>
      <c r="T120" s="32">
        <f t="shared" si="85"/>
        <v>6.8572920173807062E-2</v>
      </c>
      <c r="U120" s="32">
        <f t="shared" si="85"/>
        <v>6.8572920173807062E-2</v>
      </c>
      <c r="V120" s="32">
        <f t="shared" si="85"/>
        <v>6.8572920173807062E-2</v>
      </c>
      <c r="W120" s="32">
        <f t="shared" si="85"/>
        <v>6.8572920173807062E-2</v>
      </c>
      <c r="X120" s="32">
        <f t="shared" si="85"/>
        <v>6.8572920173807062E-2</v>
      </c>
      <c r="Y120" s="32">
        <f t="shared" si="85"/>
        <v>6.8572920173807062E-2</v>
      </c>
      <c r="Z120" s="32">
        <f t="shared" si="85"/>
        <v>6.8572920173807062E-2</v>
      </c>
    </row>
    <row r="121" spans="6:26">
      <c r="F121" s="1" t="s">
        <v>284</v>
      </c>
      <c r="G121" s="24"/>
      <c r="H121" s="24"/>
      <c r="I121" s="24"/>
      <c r="J121" s="24"/>
      <c r="K121" s="24"/>
      <c r="L121" s="24"/>
      <c r="M121" s="24"/>
      <c r="N121" s="24"/>
      <c r="O121" s="24"/>
      <c r="P121" s="24"/>
      <c r="Q121" s="32">
        <f>Q120</f>
        <v>6.8572920173807062E-2</v>
      </c>
      <c r="R121" s="32">
        <f t="shared" si="85"/>
        <v>6.8572920173807062E-2</v>
      </c>
      <c r="S121" s="32">
        <f t="shared" si="85"/>
        <v>6.8572920173807062E-2</v>
      </c>
      <c r="T121" s="32">
        <f t="shared" si="85"/>
        <v>6.8572920173807062E-2</v>
      </c>
      <c r="U121" s="32">
        <f t="shared" si="85"/>
        <v>6.8572920173807062E-2</v>
      </c>
      <c r="V121" s="88"/>
      <c r="W121" s="88"/>
      <c r="X121" s="88"/>
      <c r="Y121" s="88"/>
      <c r="Z121" s="88"/>
    </row>
    <row r="122" spans="6:26">
      <c r="F122" s="1"/>
      <c r="G122" s="24"/>
      <c r="H122" s="24"/>
      <c r="I122" s="24"/>
      <c r="J122" s="24"/>
      <c r="K122" s="24"/>
      <c r="L122" s="24"/>
      <c r="M122" s="24"/>
      <c r="N122" s="24"/>
      <c r="O122" s="24"/>
      <c r="P122" s="24"/>
      <c r="Q122" s="84"/>
      <c r="R122" s="88"/>
      <c r="S122" s="88"/>
      <c r="T122" s="88"/>
      <c r="U122" s="88"/>
      <c r="V122" s="40"/>
      <c r="W122" s="40"/>
      <c r="X122" s="40"/>
      <c r="Y122" s="40"/>
      <c r="Z122" s="40"/>
    </row>
    <row r="123" spans="6:26">
      <c r="F123" s="81" t="s">
        <v>103</v>
      </c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1"/>
      <c r="R123" s="40"/>
      <c r="S123" s="40"/>
      <c r="T123" s="40"/>
      <c r="U123" s="40"/>
    </row>
    <row r="124" spans="6:26">
      <c r="F124" s="1" t="s">
        <v>125</v>
      </c>
      <c r="G124" s="9">
        <f t="shared" ref="G124:P124" si="86">G26</f>
        <v>0</v>
      </c>
      <c r="H124" s="9">
        <f t="shared" si="86"/>
        <v>0</v>
      </c>
      <c r="I124" s="9">
        <f t="shared" si="86"/>
        <v>0</v>
      </c>
      <c r="J124" s="9">
        <f t="shared" si="86"/>
        <v>16878</v>
      </c>
      <c r="K124" s="9">
        <f t="shared" si="86"/>
        <v>16909</v>
      </c>
      <c r="L124" s="9">
        <f t="shared" si="86"/>
        <v>26677</v>
      </c>
      <c r="M124" s="9">
        <f t="shared" si="86"/>
        <v>25073</v>
      </c>
      <c r="N124" s="9">
        <f t="shared" si="86"/>
        <v>26102</v>
      </c>
      <c r="O124" s="9">
        <f t="shared" si="86"/>
        <v>27919</v>
      </c>
      <c r="P124" s="9">
        <f t="shared" si="86"/>
        <v>24656.940000000002</v>
      </c>
      <c r="Q124" s="19"/>
    </row>
    <row r="125" spans="6:26">
      <c r="F125" s="1" t="s">
        <v>103</v>
      </c>
      <c r="G125" s="9">
        <f t="shared" ref="G125:P125" si="87">-G28</f>
        <v>0</v>
      </c>
      <c r="H125" s="9">
        <f t="shared" si="87"/>
        <v>0</v>
      </c>
      <c r="I125" s="9">
        <f t="shared" si="87"/>
        <v>0</v>
      </c>
      <c r="J125" s="9">
        <f t="shared" si="87"/>
        <v>2262</v>
      </c>
      <c r="K125" s="9">
        <f t="shared" si="87"/>
        <v>2831</v>
      </c>
      <c r="L125" s="9">
        <f t="shared" si="87"/>
        <v>4917</v>
      </c>
      <c r="M125" s="9">
        <f t="shared" si="87"/>
        <v>4210</v>
      </c>
      <c r="N125" s="9">
        <f t="shared" si="87"/>
        <v>5306</v>
      </c>
      <c r="O125" s="9">
        <f t="shared" si="87"/>
        <v>5366</v>
      </c>
      <c r="P125" s="9">
        <f t="shared" si="87"/>
        <v>4160</v>
      </c>
      <c r="Q125" s="19"/>
      <c r="V125" s="17">
        <v>0.15</v>
      </c>
      <c r="W125" s="17">
        <v>0.15</v>
      </c>
      <c r="X125" s="17">
        <v>0.15</v>
      </c>
      <c r="Y125" s="17">
        <v>0.15</v>
      </c>
      <c r="Z125" s="17">
        <v>0.15</v>
      </c>
    </row>
    <row r="126" spans="6:26">
      <c r="F126" s="1" t="s">
        <v>111</v>
      </c>
      <c r="G126" s="22" t="str">
        <f t="shared" ref="G126:P126" si="88">IFERROR(G125/G124, "-")</f>
        <v>-</v>
      </c>
      <c r="H126" s="22" t="str">
        <f t="shared" si="88"/>
        <v>-</v>
      </c>
      <c r="I126" s="22" t="str">
        <f t="shared" si="88"/>
        <v>-</v>
      </c>
      <c r="J126" s="22">
        <f t="shared" si="88"/>
        <v>0.13402061855670103</v>
      </c>
      <c r="K126" s="22">
        <f t="shared" si="88"/>
        <v>0.16742563132059851</v>
      </c>
      <c r="L126" s="22">
        <f t="shared" si="88"/>
        <v>0.18431607751996101</v>
      </c>
      <c r="M126" s="22">
        <f t="shared" si="88"/>
        <v>0.16790970366529734</v>
      </c>
      <c r="N126" s="22">
        <f t="shared" si="88"/>
        <v>0.20327944218833807</v>
      </c>
      <c r="O126" s="22">
        <f t="shared" si="88"/>
        <v>0.19219886099072317</v>
      </c>
      <c r="P126" s="22">
        <f t="shared" si="88"/>
        <v>0.16871517714688034</v>
      </c>
      <c r="Q126" s="87">
        <v>0.15</v>
      </c>
      <c r="R126" s="17">
        <v>0.15</v>
      </c>
      <c r="S126" s="17">
        <v>0.15</v>
      </c>
      <c r="T126" s="17">
        <v>0.15</v>
      </c>
      <c r="U126" s="17">
        <v>0.15</v>
      </c>
    </row>
    <row r="127" spans="6:26">
      <c r="Q127" s="19"/>
    </row>
    <row r="128" spans="6:26">
      <c r="Q128" s="19"/>
    </row>
    <row r="129" spans="4:26">
      <c r="Q129" s="19"/>
      <c r="V129" s="39">
        <f>U130+1</f>
        <v>2031</v>
      </c>
      <c r="W129" s="39">
        <f t="shared" ref="U129:Z130" si="89">V129+1</f>
        <v>2032</v>
      </c>
      <c r="X129" s="39">
        <f t="shared" si="89"/>
        <v>2033</v>
      </c>
      <c r="Y129" s="39">
        <f t="shared" si="89"/>
        <v>2034</v>
      </c>
      <c r="Z129" s="39">
        <f t="shared" si="89"/>
        <v>2035</v>
      </c>
    </row>
    <row r="130" spans="4:26">
      <c r="F130" s="11" t="s">
        <v>287</v>
      </c>
      <c r="G130" s="18">
        <f>$G$4</f>
        <v>2016</v>
      </c>
      <c r="H130" s="18">
        <f>$H$4</f>
        <v>2017</v>
      </c>
      <c r="I130" s="18">
        <f>$I$4</f>
        <v>2018</v>
      </c>
      <c r="J130" s="18">
        <f>$J$4</f>
        <v>2019</v>
      </c>
      <c r="K130" s="18">
        <f>$K$4</f>
        <v>2020</v>
      </c>
      <c r="L130" s="18">
        <f>$L$4</f>
        <v>2021</v>
      </c>
      <c r="M130" s="18">
        <f>$M$4</f>
        <v>2022</v>
      </c>
      <c r="N130" s="18">
        <f>$N$4</f>
        <v>2023</v>
      </c>
      <c r="O130" s="18">
        <f>$O$4</f>
        <v>2024</v>
      </c>
      <c r="P130" s="18">
        <f>$P$4</f>
        <v>2025</v>
      </c>
      <c r="Q130" s="38">
        <f>P130+1</f>
        <v>2026</v>
      </c>
      <c r="R130" s="39">
        <f t="shared" ref="R130" si="90">Q130+1</f>
        <v>2027</v>
      </c>
      <c r="S130" s="39">
        <f t="shared" ref="S130" si="91">R130+1</f>
        <v>2028</v>
      </c>
      <c r="T130" s="39">
        <f t="shared" ref="T130" si="92">S130+1</f>
        <v>2029</v>
      </c>
      <c r="U130" s="39">
        <f t="shared" si="89"/>
        <v>2030</v>
      </c>
      <c r="V130" s="40"/>
      <c r="W130" s="40"/>
      <c r="X130" s="40"/>
      <c r="Y130" s="40"/>
      <c r="Z130" s="40"/>
    </row>
    <row r="131" spans="4:26">
      <c r="F131" s="40" t="s">
        <v>118</v>
      </c>
      <c r="G131" s="91" t="str">
        <f>IFERROR(-G57/(G50+G52), "-")</f>
        <v>-</v>
      </c>
      <c r="H131" s="91" t="str">
        <f>IFERROR(-H57/(H50+H52), "-")</f>
        <v>-</v>
      </c>
      <c r="I131" s="91" t="str">
        <f>IFERROR(-I57/(I50+I52), "-")</f>
        <v>-</v>
      </c>
      <c r="J131" s="91">
        <f>IFERROR(-J57/(J50+J52), "-")</f>
        <v>0.6034743202416919</v>
      </c>
      <c r="K131" s="91">
        <f>IFERROR(-K57/(K50+K52), "-")</f>
        <v>0.16489208633093524</v>
      </c>
      <c r="L131" s="91">
        <f>IFERROR(-L57/(L50), "-")</f>
        <v>0.17071759259259259</v>
      </c>
      <c r="M131" s="91">
        <f>IFERROR(-M57/(M50), "-")</f>
        <v>0.2455335190952303</v>
      </c>
      <c r="N131" s="91">
        <f>IFERROR(-N57/(N50), "-")</f>
        <v>0.21874602568994023</v>
      </c>
      <c r="O131" s="91">
        <f>IFERROR(-O57/(O50), "-")</f>
        <v>0.20401737242128121</v>
      </c>
      <c r="P131" s="91">
        <f>IFERROR(-P57/(P50), "-")</f>
        <v>0.20967285754690299</v>
      </c>
      <c r="Q131" s="92"/>
      <c r="R131" s="40"/>
      <c r="S131" s="40"/>
      <c r="T131" s="40"/>
      <c r="U131" s="40"/>
      <c r="V131" s="28">
        <f>U132</f>
        <v>0.21949244368833867</v>
      </c>
      <c r="W131" s="28">
        <f>V131</f>
        <v>0.21949244368833867</v>
      </c>
      <c r="X131" s="28">
        <f>W131</f>
        <v>0.21949244368833867</v>
      </c>
      <c r="Y131" s="28">
        <f>X131</f>
        <v>0.21949244368833867</v>
      </c>
      <c r="Z131" s="28">
        <f>Y131</f>
        <v>0.21949244368833867</v>
      </c>
    </row>
    <row r="132" spans="4:26">
      <c r="F132" s="1" t="s">
        <v>298</v>
      </c>
      <c r="G132" s="22"/>
      <c r="H132" s="22"/>
      <c r="I132" s="22"/>
      <c r="J132" s="22"/>
      <c r="K132" s="22"/>
      <c r="L132" s="22"/>
      <c r="M132" s="22"/>
      <c r="N132" s="22"/>
      <c r="O132" s="22"/>
      <c r="P132" s="22"/>
      <c r="Q132" s="32">
        <f>AVERAGE(M131:P131)</f>
        <v>0.21949244368833867</v>
      </c>
      <c r="R132" s="28">
        <f>Q132</f>
        <v>0.21949244368833867</v>
      </c>
      <c r="S132" s="28">
        <f>R132</f>
        <v>0.21949244368833867</v>
      </c>
      <c r="T132" s="28">
        <f>S132</f>
        <v>0.21949244368833867</v>
      </c>
      <c r="U132" s="28">
        <f>T132</f>
        <v>0.21949244368833867</v>
      </c>
      <c r="V132" s="32">
        <v>0.2195</v>
      </c>
      <c r="W132" s="32">
        <v>0.2195</v>
      </c>
      <c r="X132" s="32">
        <v>0.2195</v>
      </c>
      <c r="Y132" s="32">
        <v>0.2195</v>
      </c>
      <c r="Z132" s="32">
        <v>0.2195</v>
      </c>
    </row>
    <row r="133" spans="4:26">
      <c r="F133" s="1" t="s">
        <v>283</v>
      </c>
      <c r="G133" s="22"/>
      <c r="H133" s="22"/>
      <c r="I133" s="22"/>
      <c r="J133" s="22"/>
      <c r="K133" s="22"/>
      <c r="L133" s="22"/>
      <c r="M133" s="22"/>
      <c r="N133" s="22"/>
      <c r="O133" s="22"/>
      <c r="P133" s="22"/>
      <c r="Q133" s="32">
        <v>0.2195</v>
      </c>
      <c r="R133" s="32">
        <v>0.2195</v>
      </c>
      <c r="S133" s="32">
        <v>0.2195</v>
      </c>
      <c r="T133" s="32">
        <v>0.2195</v>
      </c>
      <c r="U133" s="32">
        <v>0.2195</v>
      </c>
      <c r="V133" s="32">
        <v>0.2195</v>
      </c>
      <c r="W133" s="32">
        <v>0.2195</v>
      </c>
      <c r="X133" s="32">
        <v>0.2195</v>
      </c>
      <c r="Y133" s="32">
        <v>0.2195</v>
      </c>
      <c r="Z133" s="32">
        <v>0.2195</v>
      </c>
    </row>
    <row r="134" spans="4:26">
      <c r="F134" s="1" t="s">
        <v>284</v>
      </c>
      <c r="G134" s="22"/>
      <c r="H134" s="22"/>
      <c r="I134" s="22"/>
      <c r="J134" s="22"/>
      <c r="K134" s="22"/>
      <c r="L134" s="22"/>
      <c r="M134" s="22"/>
      <c r="N134" s="22"/>
      <c r="O134" s="22"/>
      <c r="P134" s="22"/>
      <c r="Q134" s="32">
        <v>0.2195</v>
      </c>
      <c r="R134" s="32">
        <v>0.2195</v>
      </c>
      <c r="S134" s="32">
        <v>0.2195</v>
      </c>
      <c r="T134" s="32">
        <v>0.2195</v>
      </c>
      <c r="U134" s="32">
        <v>0.2195</v>
      </c>
    </row>
    <row r="135" spans="4:26">
      <c r="G135" s="22"/>
      <c r="H135" s="22"/>
      <c r="I135" s="22"/>
      <c r="J135" s="22"/>
      <c r="K135" s="22"/>
      <c r="L135" s="22"/>
      <c r="M135" s="22"/>
      <c r="N135" s="22"/>
      <c r="O135" s="22"/>
      <c r="P135" s="22"/>
      <c r="Q135" s="84"/>
      <c r="V135" s="40"/>
      <c r="W135" s="40"/>
      <c r="X135" s="40"/>
      <c r="Y135" s="40"/>
      <c r="Z135" s="40"/>
    </row>
    <row r="136" spans="4:26">
      <c r="F136" s="40" t="s">
        <v>286</v>
      </c>
      <c r="G136" s="91" t="str">
        <f t="shared" ref="G136:P136" si="93">IFERROR(G52/G50, "-")</f>
        <v>-</v>
      </c>
      <c r="H136" s="91" t="str">
        <f t="shared" si="93"/>
        <v>-</v>
      </c>
      <c r="I136" s="91" t="str">
        <f t="shared" si="93"/>
        <v>-</v>
      </c>
      <c r="J136" s="91" t="str">
        <f t="shared" si="93"/>
        <v>-</v>
      </c>
      <c r="K136" s="91">
        <f t="shared" si="93"/>
        <v>8.3567196757093856E-2</v>
      </c>
      <c r="L136" s="91">
        <f t="shared" si="93"/>
        <v>0.24675925925925926</v>
      </c>
      <c r="M136" s="91">
        <f t="shared" si="93"/>
        <v>0.53843632191444024</v>
      </c>
      <c r="N136" s="91">
        <f t="shared" si="93"/>
        <v>0.27661198016024419</v>
      </c>
      <c r="O136" s="91">
        <f t="shared" si="93"/>
        <v>0.31758957654723124</v>
      </c>
      <c r="P136" s="91">
        <f t="shared" si="93"/>
        <v>0.26765343640991796</v>
      </c>
      <c r="Q136" s="41"/>
      <c r="R136" s="40"/>
      <c r="S136" s="40"/>
      <c r="T136" s="40"/>
      <c r="U136" s="40"/>
      <c r="V136" s="28">
        <f>U137</f>
        <v>0.2872849977057978</v>
      </c>
      <c r="W136" s="28">
        <f t="shared" ref="R136:Z137" si="94">V136</f>
        <v>0.2872849977057978</v>
      </c>
      <c r="X136" s="28">
        <f t="shared" si="94"/>
        <v>0.2872849977057978</v>
      </c>
      <c r="Y136" s="28">
        <f t="shared" si="94"/>
        <v>0.2872849977057978</v>
      </c>
      <c r="Z136" s="28">
        <f t="shared" si="94"/>
        <v>0.2872849977057978</v>
      </c>
    </row>
    <row r="137" spans="4:26">
      <c r="F137" s="1" t="s">
        <v>298</v>
      </c>
      <c r="G137" s="22"/>
      <c r="H137" s="22"/>
      <c r="I137" s="22"/>
      <c r="J137" s="22"/>
      <c r="K137" s="22"/>
      <c r="L137" s="22"/>
      <c r="M137" s="22"/>
      <c r="N137" s="22"/>
      <c r="O137" s="22"/>
      <c r="P137" s="22"/>
      <c r="Q137" s="32">
        <f>AVERAGE(N136:P136)</f>
        <v>0.2872849977057978</v>
      </c>
      <c r="R137" s="28">
        <f t="shared" si="94"/>
        <v>0.2872849977057978</v>
      </c>
      <c r="S137" s="28">
        <f t="shared" si="94"/>
        <v>0.2872849977057978</v>
      </c>
      <c r="T137" s="28">
        <f t="shared" si="94"/>
        <v>0.2872849977057978</v>
      </c>
      <c r="U137" s="28">
        <f t="shared" si="94"/>
        <v>0.2872849977057978</v>
      </c>
      <c r="V137" s="32">
        <v>0.2873</v>
      </c>
      <c r="W137" s="32">
        <v>0.2873</v>
      </c>
      <c r="X137" s="32">
        <v>0.2873</v>
      </c>
      <c r="Y137" s="32">
        <v>0.2873</v>
      </c>
      <c r="Z137" s="32">
        <v>0.2873</v>
      </c>
    </row>
    <row r="138" spans="4:26">
      <c r="D138" s="99"/>
      <c r="F138" s="1" t="s">
        <v>283</v>
      </c>
      <c r="G138" s="22"/>
      <c r="H138" s="22"/>
      <c r="I138" s="22"/>
      <c r="J138" s="22"/>
      <c r="K138" s="22"/>
      <c r="L138" s="22"/>
      <c r="M138" s="22"/>
      <c r="N138" s="22"/>
      <c r="O138" s="22"/>
      <c r="P138" s="22"/>
      <c r="Q138" s="32">
        <v>0.2873</v>
      </c>
      <c r="R138" s="32">
        <v>0.2873</v>
      </c>
      <c r="S138" s="32">
        <v>0.2873</v>
      </c>
      <c r="T138" s="32">
        <v>0.2873</v>
      </c>
      <c r="U138" s="32">
        <v>0.2873</v>
      </c>
      <c r="V138" s="32">
        <v>0.2873</v>
      </c>
      <c r="W138" s="32">
        <v>0.2873</v>
      </c>
      <c r="X138" s="32">
        <v>0.2873</v>
      </c>
      <c r="Y138" s="32">
        <v>0.2873</v>
      </c>
      <c r="Z138" s="32">
        <v>0.2873</v>
      </c>
    </row>
    <row r="139" spans="4:26">
      <c r="F139" s="1" t="s">
        <v>284</v>
      </c>
      <c r="G139" s="22"/>
      <c r="H139" s="22"/>
      <c r="I139" s="22"/>
      <c r="J139" s="22"/>
      <c r="K139" s="22"/>
      <c r="L139" s="22"/>
      <c r="M139" s="22"/>
      <c r="N139" s="22"/>
      <c r="O139" s="22"/>
      <c r="P139" s="22"/>
      <c r="Q139" s="32">
        <v>0.2873</v>
      </c>
      <c r="R139" s="32">
        <v>0.2873</v>
      </c>
      <c r="S139" s="32">
        <v>0.2873</v>
      </c>
      <c r="T139" s="32">
        <v>0.2873</v>
      </c>
      <c r="U139" s="32">
        <v>0.2873</v>
      </c>
    </row>
    <row r="140" spans="4:26">
      <c r="G140" s="22"/>
      <c r="H140" s="22"/>
      <c r="I140" s="22"/>
      <c r="J140" s="22"/>
      <c r="K140" s="22"/>
      <c r="L140" s="22"/>
      <c r="M140" s="22"/>
      <c r="N140" s="22"/>
      <c r="O140" s="22"/>
      <c r="P140" s="22"/>
      <c r="Q140" s="19"/>
      <c r="V140" s="39">
        <f>U141+1</f>
        <v>2031</v>
      </c>
      <c r="W140" s="39">
        <f t="shared" ref="U140:Z141" si="95">V140+1</f>
        <v>2032</v>
      </c>
      <c r="X140" s="39">
        <f t="shared" si="95"/>
        <v>2033</v>
      </c>
      <c r="Y140" s="39">
        <f t="shared" si="95"/>
        <v>2034</v>
      </c>
      <c r="Z140" s="39">
        <f t="shared" si="95"/>
        <v>2035</v>
      </c>
    </row>
    <row r="141" spans="4:26">
      <c r="F141" s="11" t="s">
        <v>293</v>
      </c>
      <c r="G141" s="18">
        <f>$G$4</f>
        <v>2016</v>
      </c>
      <c r="H141" s="18">
        <f>$H$4</f>
        <v>2017</v>
      </c>
      <c r="I141" s="18">
        <f>$I$4</f>
        <v>2018</v>
      </c>
      <c r="J141" s="18">
        <f>$J$4</f>
        <v>2019</v>
      </c>
      <c r="K141" s="18">
        <f>$K$4</f>
        <v>2020</v>
      </c>
      <c r="L141" s="18">
        <f>$L$4</f>
        <v>2021</v>
      </c>
      <c r="M141" s="18">
        <f>$M$4</f>
        <v>2022</v>
      </c>
      <c r="N141" s="18">
        <f>$N$4</f>
        <v>2023</v>
      </c>
      <c r="O141" s="18">
        <f>$O$4</f>
        <v>2024</v>
      </c>
      <c r="P141" s="18">
        <f>$P$4</f>
        <v>2025</v>
      </c>
      <c r="Q141" s="38">
        <f>P141+1</f>
        <v>2026</v>
      </c>
      <c r="R141" s="39">
        <f t="shared" ref="R141" si="96">Q141+1</f>
        <v>2027</v>
      </c>
      <c r="S141" s="39">
        <f t="shared" ref="S141" si="97">R141+1</f>
        <v>2028</v>
      </c>
      <c r="T141" s="39">
        <f t="shared" ref="T141" si="98">S141+1</f>
        <v>2029</v>
      </c>
      <c r="U141" s="39">
        <f t="shared" si="95"/>
        <v>2030</v>
      </c>
      <c r="V141" s="40"/>
      <c r="W141" s="40"/>
      <c r="X141" s="40"/>
      <c r="Y141" s="40"/>
      <c r="Z141" s="40"/>
    </row>
    <row r="142" spans="4:26">
      <c r="F142" s="91" t="s">
        <v>183</v>
      </c>
      <c r="G142" s="91" t="str">
        <f>IFERROR(-G36/#REF!, "-")</f>
        <v>-</v>
      </c>
      <c r="H142" s="91" t="str">
        <f t="shared" ref="H142:P142" si="99">IFERROR(-H36/G5, "-")</f>
        <v>-</v>
      </c>
      <c r="I142" s="91" t="str">
        <f t="shared" si="99"/>
        <v>-</v>
      </c>
      <c r="J142" s="91" t="str">
        <f t="shared" si="99"/>
        <v>-</v>
      </c>
      <c r="K142" s="91">
        <f t="shared" si="99"/>
        <v>1.1813750299672358E-2</v>
      </c>
      <c r="L142" s="91">
        <f t="shared" si="99"/>
        <v>5.3201987575479615E-2</v>
      </c>
      <c r="M142" s="91">
        <f t="shared" si="99"/>
        <v>3.2726447734104699E-2</v>
      </c>
      <c r="N142" s="91">
        <f t="shared" si="99"/>
        <v>4.9808732538881871E-2</v>
      </c>
      <c r="O142" s="91">
        <f t="shared" si="99"/>
        <v>3.7760852682801715E-2</v>
      </c>
      <c r="P142" s="91">
        <f t="shared" si="99"/>
        <v>6.5360444169900167E-2</v>
      </c>
      <c r="Q142" s="86"/>
      <c r="R142" s="40"/>
      <c r="S142" s="40"/>
      <c r="T142" s="40"/>
      <c r="U142" s="40"/>
      <c r="V142" s="32">
        <v>0.05</v>
      </c>
      <c r="W142" s="32">
        <v>0.05</v>
      </c>
      <c r="X142" s="32">
        <v>0.05</v>
      </c>
      <c r="Y142" s="32">
        <v>0.05</v>
      </c>
      <c r="Z142" s="32">
        <v>0.05</v>
      </c>
    </row>
    <row r="143" spans="4:26">
      <c r="F143" s="1" t="s">
        <v>298</v>
      </c>
      <c r="G143" s="22"/>
      <c r="H143" s="22"/>
      <c r="I143" s="22"/>
      <c r="J143" s="22"/>
      <c r="K143" s="22"/>
      <c r="L143" s="22"/>
      <c r="M143" s="22"/>
      <c r="N143" s="22"/>
      <c r="O143" s="22"/>
      <c r="P143" s="22"/>
      <c r="Q143" s="32">
        <v>0.05</v>
      </c>
      <c r="R143" s="32">
        <v>0.05</v>
      </c>
      <c r="S143" s="32">
        <v>0.05</v>
      </c>
      <c r="T143" s="32">
        <v>0.05</v>
      </c>
      <c r="U143" s="32">
        <v>0.05</v>
      </c>
      <c r="V143" s="32">
        <v>3.5000000000000003E-2</v>
      </c>
      <c r="W143" s="32">
        <v>3.5000000000000003E-2</v>
      </c>
      <c r="X143" s="32">
        <v>3.5000000000000003E-2</v>
      </c>
      <c r="Y143" s="32">
        <v>3.5000000000000003E-2</v>
      </c>
      <c r="Z143" s="32">
        <v>3.5000000000000003E-2</v>
      </c>
    </row>
    <row r="144" spans="4:26">
      <c r="F144" s="1" t="s">
        <v>283</v>
      </c>
      <c r="G144" s="22"/>
      <c r="H144" s="22"/>
      <c r="I144" s="22"/>
      <c r="J144" s="22"/>
      <c r="K144" s="22"/>
      <c r="L144" s="22"/>
      <c r="M144" s="22"/>
      <c r="N144" s="22"/>
      <c r="O144" s="22"/>
      <c r="P144" s="22"/>
      <c r="Q144" s="32">
        <v>3.5000000000000003E-2</v>
      </c>
      <c r="R144" s="32">
        <v>3.5000000000000003E-2</v>
      </c>
      <c r="S144" s="32">
        <v>3.5000000000000003E-2</v>
      </c>
      <c r="T144" s="32">
        <v>3.5000000000000003E-2</v>
      </c>
      <c r="U144" s="32">
        <v>3.5000000000000003E-2</v>
      </c>
      <c r="V144" s="32">
        <v>2.75E-2</v>
      </c>
      <c r="W144" s="32">
        <v>2.75E-2</v>
      </c>
      <c r="X144" s="32">
        <v>2.75E-2</v>
      </c>
      <c r="Y144" s="32">
        <v>2.75E-2</v>
      </c>
      <c r="Z144" s="32">
        <v>2.75E-2</v>
      </c>
    </row>
    <row r="145" spans="6:26">
      <c r="F145" s="1" t="s">
        <v>284</v>
      </c>
      <c r="G145" s="22"/>
      <c r="H145" s="22"/>
      <c r="I145" s="22"/>
      <c r="J145" s="22"/>
      <c r="K145" s="22"/>
      <c r="L145" s="22"/>
      <c r="M145" s="22"/>
      <c r="N145" s="22"/>
      <c r="O145" s="22"/>
      <c r="P145" s="22"/>
      <c r="Q145" s="32">
        <v>2.75E-2</v>
      </c>
      <c r="R145" s="32">
        <v>2.75E-2</v>
      </c>
      <c r="S145" s="32">
        <v>2.75E-2</v>
      </c>
      <c r="T145" s="32">
        <v>2.75E-2</v>
      </c>
      <c r="U145" s="32">
        <v>2.75E-2</v>
      </c>
    </row>
    <row r="146" spans="6:26"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  <c r="Q146" s="84"/>
      <c r="V146" s="40"/>
      <c r="W146" s="40"/>
      <c r="X146" s="40"/>
      <c r="Y146" s="40"/>
      <c r="Z146" s="40"/>
    </row>
    <row r="147" spans="6:26">
      <c r="F147" s="91" t="s">
        <v>266</v>
      </c>
      <c r="G147" s="91"/>
      <c r="H147" s="91"/>
      <c r="I147" s="91"/>
      <c r="J147" s="91"/>
      <c r="K147" s="91"/>
      <c r="L147" s="91"/>
      <c r="M147" s="91"/>
      <c r="N147" s="91"/>
      <c r="O147" s="91"/>
      <c r="P147" s="91"/>
      <c r="Q147" s="86"/>
      <c r="R147" s="40"/>
      <c r="S147" s="40"/>
      <c r="T147" s="40"/>
      <c r="U147" s="40"/>
    </row>
    <row r="148" spans="6:26">
      <c r="F148" s="1" t="s">
        <v>298</v>
      </c>
      <c r="G148" s="22"/>
      <c r="H148" s="22"/>
      <c r="I148" s="22"/>
      <c r="J148" s="22"/>
      <c r="K148" s="22"/>
      <c r="L148" s="22"/>
      <c r="M148" s="22"/>
      <c r="N148" s="22"/>
      <c r="O148" s="22"/>
      <c r="P148" s="22"/>
      <c r="Q148" s="20">
        <v>7</v>
      </c>
    </row>
    <row r="149" spans="6:26">
      <c r="F149" s="1" t="s">
        <v>283</v>
      </c>
      <c r="G149" s="22"/>
      <c r="H149" s="22"/>
      <c r="I149" s="22"/>
      <c r="J149" s="22"/>
      <c r="K149" s="22"/>
      <c r="L149" s="22"/>
      <c r="M149" s="22"/>
      <c r="N149" s="22"/>
      <c r="O149" s="22"/>
      <c r="P149" s="22"/>
      <c r="Q149" s="20">
        <v>6</v>
      </c>
    </row>
    <row r="150" spans="6:26">
      <c r="F150" s="1" t="s">
        <v>284</v>
      </c>
      <c r="G150" s="22"/>
      <c r="H150" s="22"/>
      <c r="I150" s="22"/>
      <c r="J150" s="22"/>
      <c r="K150" s="22"/>
      <c r="L150" s="22"/>
      <c r="M150" s="22"/>
      <c r="N150" s="22"/>
      <c r="O150" s="22"/>
      <c r="P150" s="22"/>
      <c r="Q150" s="20">
        <v>5</v>
      </c>
    </row>
    <row r="151" spans="6:26">
      <c r="F151" s="1"/>
      <c r="G151" s="22"/>
      <c r="H151" s="22"/>
      <c r="I151" s="22"/>
      <c r="J151" s="22"/>
      <c r="K151" s="22"/>
      <c r="L151" s="22"/>
      <c r="M151" s="22"/>
      <c r="N151" s="22"/>
      <c r="O151" s="22"/>
      <c r="P151" s="22"/>
      <c r="Q151" s="19"/>
      <c r="V151" s="40"/>
      <c r="W151" s="40"/>
      <c r="X151" s="40"/>
      <c r="Y151" s="40"/>
      <c r="Z151" s="40"/>
    </row>
    <row r="152" spans="6:26">
      <c r="F152" s="91" t="s">
        <v>267</v>
      </c>
      <c r="G152" s="91"/>
      <c r="H152" s="91"/>
      <c r="I152" s="91"/>
      <c r="J152" s="91"/>
      <c r="K152" s="91"/>
      <c r="L152" s="91"/>
      <c r="M152" s="91"/>
      <c r="N152" s="91"/>
      <c r="O152" s="91"/>
      <c r="P152" s="93"/>
      <c r="Q152" s="41"/>
      <c r="R152" s="40"/>
      <c r="S152" s="40"/>
      <c r="T152" s="40"/>
      <c r="U152" s="40"/>
    </row>
    <row r="153" spans="6:26">
      <c r="F153" s="1" t="s">
        <v>298</v>
      </c>
      <c r="G153" s="22"/>
      <c r="H153" s="22"/>
      <c r="I153" s="22"/>
      <c r="J153" s="22"/>
      <c r="K153" s="22"/>
      <c r="L153" s="22"/>
      <c r="M153" s="22"/>
      <c r="N153" s="22"/>
      <c r="O153" s="22"/>
      <c r="P153" s="25"/>
      <c r="Q153" s="27">
        <v>0.1</v>
      </c>
    </row>
    <row r="154" spans="6:26">
      <c r="F154" s="1" t="s">
        <v>283</v>
      </c>
      <c r="G154" s="22"/>
      <c r="H154" s="22"/>
      <c r="I154" s="22"/>
      <c r="J154" s="22"/>
      <c r="K154" s="22"/>
      <c r="L154" s="22"/>
      <c r="M154" s="22"/>
      <c r="N154" s="22"/>
      <c r="O154" s="22"/>
      <c r="P154" s="25"/>
      <c r="Q154" s="27">
        <v>0.12</v>
      </c>
    </row>
    <row r="155" spans="6:26">
      <c r="F155" s="1" t="s">
        <v>284</v>
      </c>
      <c r="G155" s="22"/>
      <c r="H155" s="22"/>
      <c r="I155" s="22"/>
      <c r="J155" s="22"/>
      <c r="K155" s="22"/>
      <c r="L155" s="22"/>
      <c r="M155" s="22"/>
      <c r="N155" s="22"/>
      <c r="O155" s="22"/>
      <c r="P155" s="25"/>
      <c r="Q155" s="27">
        <v>0.15</v>
      </c>
    </row>
    <row r="156" spans="6:26"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5"/>
      <c r="Q156" s="19"/>
      <c r="V156" s="99" cm="1">
        <f t="array" ref="V156">INDEX($Q$142:$Z$144, MATCH($D$6,$F$143:$F$145,0), (COLUMN()-COLUMN($Q$52)+1))</f>
        <v>3.5000000000000003E-2</v>
      </c>
      <c r="W156" s="99" cm="1">
        <f t="array" ref="W156">INDEX($Q$142:$Z$144, MATCH($D$6,$F$143:$F$145,0), (COLUMN()-COLUMN($Q$52)+1))</f>
        <v>3.5000000000000003E-2</v>
      </c>
      <c r="X156" s="99" cm="1">
        <f t="array" ref="X156">INDEX($Q$142:$Z$144, MATCH($D$6,$F$143:$F$145,0), (COLUMN()-COLUMN($Q$52)+1))</f>
        <v>3.5000000000000003E-2</v>
      </c>
      <c r="Y156" s="99" cm="1">
        <f t="array" ref="Y156">INDEX($Q$142:$Z$144, MATCH($D$6,$F$143:$F$145,0), (COLUMN()-COLUMN($Q$52)+1))</f>
        <v>3.5000000000000003E-2</v>
      </c>
      <c r="Z156" s="99" cm="1">
        <f t="array" ref="Z156">INDEX($Q$142:$Z$144, MATCH($D$6,$F$143:$F$145,0), (COLUMN()-COLUMN($Q$52)+1))</f>
        <v>3.5000000000000003E-2</v>
      </c>
    </row>
    <row r="157" spans="6:26">
      <c r="F157" s="99" t="s">
        <v>304</v>
      </c>
      <c r="G157" s="99"/>
      <c r="H157" s="99"/>
      <c r="I157" s="99"/>
      <c r="J157" s="99"/>
      <c r="K157" s="99"/>
      <c r="L157" s="99"/>
      <c r="M157" s="99"/>
      <c r="N157" s="99"/>
      <c r="O157" s="99"/>
      <c r="P157" s="104"/>
      <c r="Q157" s="98" cm="1">
        <f t="array" ref="Q157">INDEX($Q$142:$Z$144, MATCH($D$6,$F$143:$F$145,0), (COLUMN()-COLUMN($Q$52)+1))</f>
        <v>0.05</v>
      </c>
      <c r="R157" s="99" cm="1">
        <f t="array" ref="R157">INDEX($Q$142:$Z$144, MATCH($D$6,$F$143:$F$145,0), (COLUMN()-COLUMN($Q$52)+1))</f>
        <v>0.05</v>
      </c>
      <c r="S157" s="99" cm="1">
        <f t="array" ref="S157">INDEX($Q$142:$Z$144, MATCH($D$6,$F$143:$F$145,0), (COLUMN()-COLUMN($Q$52)+1))</f>
        <v>0.05</v>
      </c>
      <c r="T157" s="99" cm="1">
        <f t="array" ref="T157">INDEX($Q$142:$Z$144, MATCH($D$6,$F$143:$F$145,0), (COLUMN()-COLUMN($Q$52)+1))</f>
        <v>0.05</v>
      </c>
      <c r="U157" s="99" cm="1">
        <f t="array" ref="U157">INDEX($Q$142:$Z$144, MATCH($D$6,$F$143:$F$145,0), (COLUMN()-COLUMN($Q$52)+1))</f>
        <v>0.05</v>
      </c>
      <c r="V157" s="99"/>
      <c r="W157" s="99"/>
      <c r="X157" s="99"/>
      <c r="Y157" s="99"/>
      <c r="Z157" s="99"/>
    </row>
    <row r="158" spans="6:26">
      <c r="F158" s="99" t="s">
        <v>267</v>
      </c>
      <c r="G158" s="99"/>
      <c r="H158" s="99"/>
      <c r="I158" s="99"/>
      <c r="J158" s="99"/>
      <c r="K158" s="99"/>
      <c r="L158" s="99"/>
      <c r="M158" s="99"/>
      <c r="N158" s="99"/>
      <c r="O158" s="99"/>
      <c r="P158" s="104"/>
      <c r="Q158" s="98">
        <f>INDEX($Q$153:$Q$155, MATCH($D$6,$F$153:$F$155,0))</f>
        <v>0.12</v>
      </c>
      <c r="R158" s="99"/>
      <c r="S158" s="99"/>
      <c r="T158" s="99"/>
      <c r="U158" s="99"/>
      <c r="V158" s="99"/>
      <c r="W158" s="99"/>
      <c r="X158" s="99"/>
      <c r="Y158" s="99"/>
      <c r="Z158" s="99"/>
    </row>
    <row r="159" spans="6:26">
      <c r="F159" s="99" t="s">
        <v>305</v>
      </c>
      <c r="G159" s="99"/>
      <c r="H159" s="99"/>
      <c r="I159" s="99"/>
      <c r="J159" s="99"/>
      <c r="K159" s="99"/>
      <c r="L159" s="99"/>
      <c r="M159" s="99"/>
      <c r="N159" s="99"/>
      <c r="O159" s="99"/>
      <c r="P159" s="104"/>
      <c r="Q159" s="106">
        <f>INDEX($Q$148:$Q$150, MATCH($D$6,$F$148:$F$150,0))</f>
        <v>6</v>
      </c>
      <c r="R159" s="99"/>
      <c r="S159" s="99"/>
      <c r="T159" s="99"/>
      <c r="U159" s="99"/>
      <c r="V159" s="101">
        <f t="shared" ref="V159:Z159" si="100">V156*U5</f>
        <v>14073.148907367988</v>
      </c>
      <c r="W159" s="101">
        <f t="shared" si="100"/>
        <v>15050.450914824096</v>
      </c>
      <c r="X159" s="101">
        <f t="shared" si="100"/>
        <v>16095.621117242436</v>
      </c>
      <c r="Y159" s="101">
        <f t="shared" si="100"/>
        <v>17213.372583717606</v>
      </c>
      <c r="Z159" s="101">
        <f t="shared" si="100"/>
        <v>18408.745679809104</v>
      </c>
    </row>
    <row r="160" spans="6:26">
      <c r="F160" s="99" t="s">
        <v>309</v>
      </c>
      <c r="G160" s="99"/>
      <c r="H160" s="99"/>
      <c r="I160" s="99"/>
      <c r="J160" s="99"/>
      <c r="K160" s="99"/>
      <c r="L160" s="99"/>
      <c r="M160" s="99"/>
      <c r="N160" s="99"/>
      <c r="O160" s="99"/>
      <c r="P160" s="104"/>
      <c r="Q160" s="107">
        <f>Q157*P5</f>
        <v>14371.5</v>
      </c>
      <c r="R160" s="101">
        <f>R157*Q5</f>
        <v>15369.520833333336</v>
      </c>
      <c r="S160" s="101">
        <f>S157*R5</f>
        <v>16436.848668981485</v>
      </c>
      <c r="T160" s="101">
        <f>T157*S5</f>
        <v>17578.296493216309</v>
      </c>
      <c r="U160" s="101">
        <f>U157*T5</f>
        <v>18799.011527467443</v>
      </c>
      <c r="V160" s="101">
        <f>((-V35/$Q$159)/$Q$158)</f>
        <v>27922.914498746002</v>
      </c>
      <c r="W160" s="101">
        <f>((-W35/$Q$159)/$Q$158)</f>
        <v>29862.005783381148</v>
      </c>
      <c r="X160" s="101">
        <f>((-X35/$Q$159)/$Q$158)</f>
        <v>31935.756185004833</v>
      </c>
      <c r="Y160" s="101">
        <f>((-Y35/$Q$159)/$Q$158)</f>
        <v>34153.517031185729</v>
      </c>
      <c r="Z160" s="101">
        <f>((-Z35/$Q$159)/$Q$158)</f>
        <v>36525.289047240294</v>
      </c>
    </row>
    <row r="161" spans="6:31">
      <c r="F161" s="99" t="s">
        <v>268</v>
      </c>
      <c r="G161" s="99"/>
      <c r="H161" s="99"/>
      <c r="I161" s="99"/>
      <c r="J161" s="99"/>
      <c r="K161" s="99"/>
      <c r="L161" s="99"/>
      <c r="M161" s="99"/>
      <c r="N161" s="99"/>
      <c r="O161" s="99"/>
      <c r="P161" s="101">
        <f>((-P36/$Q$148)/$Q$153)*0.5</f>
        <v>12621.428571428571</v>
      </c>
      <c r="Q161" s="107">
        <f>((Q160/$Q$159)/$Q$158)</f>
        <v>19960.416666666668</v>
      </c>
      <c r="R161" s="101">
        <f>((R160/$Q$159)/$Q$158)</f>
        <v>21346.556712962967</v>
      </c>
      <c r="S161" s="101">
        <f>((S160/$Q$159)/$Q$158)</f>
        <v>22828.956484696511</v>
      </c>
      <c r="T161" s="101">
        <f>((T160/$Q$159)/$Q$158)</f>
        <v>24414.300685022652</v>
      </c>
      <c r="U161" s="101">
        <f>((U160/$Q$159)/$Q$158)</f>
        <v>26109.738232593674</v>
      </c>
      <c r="V161" s="99">
        <f>IFERROR(V160/U5,"-")</f>
        <v>6.9444444444444448E-2</v>
      </c>
      <c r="W161" s="99">
        <f>IFERROR(W160/V5,"-")</f>
        <v>6.9444444444444461E-2</v>
      </c>
      <c r="X161" s="99">
        <f>IFERROR(X160/W5,"-")</f>
        <v>6.9444444444444448E-2</v>
      </c>
      <c r="Y161" s="99">
        <f>IFERROR(Y160/X5,"-")</f>
        <v>6.9444444444444461E-2</v>
      </c>
      <c r="Z161" s="99">
        <f>IFERROR(Z160/Y5,"-")</f>
        <v>6.9444444444444461E-2</v>
      </c>
    </row>
    <row r="162" spans="6:31">
      <c r="F162" s="99" t="s">
        <v>269</v>
      </c>
      <c r="G162" s="99"/>
      <c r="H162" s="99"/>
      <c r="I162" s="99"/>
      <c r="J162" s="99"/>
      <c r="K162" s="99"/>
      <c r="L162" s="99"/>
      <c r="M162" s="99"/>
      <c r="N162" s="99"/>
      <c r="O162" s="99"/>
      <c r="P162" s="99">
        <f t="shared" ref="P162:U162" si="101">IFERROR(P161/O5,"-")</f>
        <v>4.6686031549928689E-2</v>
      </c>
      <c r="Q162" s="98">
        <f t="shared" si="101"/>
        <v>6.9444444444444448E-2</v>
      </c>
      <c r="R162" s="99">
        <f t="shared" si="101"/>
        <v>6.9444444444444448E-2</v>
      </c>
      <c r="S162" s="99">
        <f t="shared" si="101"/>
        <v>6.9444444444444461E-2</v>
      </c>
      <c r="T162" s="99">
        <f t="shared" si="101"/>
        <v>6.9444444444444448E-2</v>
      </c>
      <c r="U162" s="99">
        <f t="shared" si="101"/>
        <v>6.9444444444444461E-2</v>
      </c>
      <c r="V162" s="9"/>
      <c r="W162" s="9"/>
      <c r="X162" s="9"/>
      <c r="Y162" s="9"/>
      <c r="Z162" s="9"/>
    </row>
    <row r="163" spans="6:31"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9"/>
      <c r="Q163" s="29"/>
      <c r="R163" s="9"/>
      <c r="S163" s="9"/>
      <c r="T163" s="9"/>
      <c r="U163" s="9"/>
      <c r="V163" s="39">
        <f>U164+1</f>
        <v>2031</v>
      </c>
      <c r="W163" s="39">
        <f t="shared" ref="U163:Z164" si="102">V163+1</f>
        <v>2032</v>
      </c>
      <c r="X163" s="39">
        <f t="shared" si="102"/>
        <v>2033</v>
      </c>
      <c r="Y163" s="39">
        <f t="shared" si="102"/>
        <v>2034</v>
      </c>
      <c r="Z163" s="39">
        <f t="shared" si="102"/>
        <v>2035</v>
      </c>
    </row>
    <row r="164" spans="6:31">
      <c r="F164" s="11" t="s">
        <v>292</v>
      </c>
      <c r="G164" s="18">
        <f>$G$4</f>
        <v>2016</v>
      </c>
      <c r="H164" s="18">
        <f>$H$4</f>
        <v>2017</v>
      </c>
      <c r="I164" s="18">
        <f>$I$4</f>
        <v>2018</v>
      </c>
      <c r="J164" s="18">
        <f>$J$4</f>
        <v>2019</v>
      </c>
      <c r="K164" s="18">
        <f>$K$4</f>
        <v>2020</v>
      </c>
      <c r="L164" s="18">
        <f>$L$4</f>
        <v>2021</v>
      </c>
      <c r="M164" s="18">
        <f>$M$4</f>
        <v>2022</v>
      </c>
      <c r="N164" s="18">
        <f>$N$4</f>
        <v>2023</v>
      </c>
      <c r="O164" s="18">
        <f>$O$4</f>
        <v>2024</v>
      </c>
      <c r="P164" s="18">
        <f>$P$4</f>
        <v>2025</v>
      </c>
      <c r="Q164" s="38">
        <f>P164+1</f>
        <v>2026</v>
      </c>
      <c r="R164" s="39">
        <f t="shared" ref="R164" si="103">Q164+1</f>
        <v>2027</v>
      </c>
      <c r="S164" s="39">
        <f t="shared" ref="S164" si="104">R164+1</f>
        <v>2028</v>
      </c>
      <c r="T164" s="39">
        <f t="shared" ref="T164" si="105">S164+1</f>
        <v>2029</v>
      </c>
      <c r="U164" s="39">
        <f t="shared" si="102"/>
        <v>2030</v>
      </c>
      <c r="V164" s="40"/>
      <c r="W164" s="40"/>
      <c r="X164" s="40"/>
      <c r="Y164" s="40"/>
      <c r="Z164" s="40"/>
    </row>
    <row r="165" spans="6:31">
      <c r="F165" s="40" t="s">
        <v>151</v>
      </c>
      <c r="G165" s="91" t="str">
        <f t="shared" ref="G165:P165" si="106">IFERROR(G65/G63,"-")</f>
        <v>-</v>
      </c>
      <c r="H165" s="91" t="str">
        <f t="shared" si="106"/>
        <v>-</v>
      </c>
      <c r="I165" s="91" t="str">
        <f t="shared" si="106"/>
        <v>-</v>
      </c>
      <c r="J165" s="91" t="str">
        <f t="shared" si="106"/>
        <v>-</v>
      </c>
      <c r="K165" s="91">
        <f t="shared" si="106"/>
        <v>0.32099671624492948</v>
      </c>
      <c r="L165" s="91">
        <f t="shared" si="106"/>
        <v>0.38192695214105793</v>
      </c>
      <c r="M165" s="91">
        <f t="shared" si="106"/>
        <v>5.79814505443862E-2</v>
      </c>
      <c r="N165" s="91">
        <f t="shared" si="106"/>
        <v>0.15171783841122047</v>
      </c>
      <c r="O165" s="91">
        <f t="shared" si="106"/>
        <v>0.33587611782520499</v>
      </c>
      <c r="P165" s="91">
        <f t="shared" si="106"/>
        <v>0.20532171288068748</v>
      </c>
      <c r="Q165" s="86"/>
      <c r="R165" s="40"/>
      <c r="S165" s="40"/>
      <c r="T165" s="40"/>
      <c r="U165" s="40"/>
      <c r="V165" s="28">
        <f>U166</f>
        <v>0.23</v>
      </c>
      <c r="W165" s="28">
        <f>V165</f>
        <v>0.23</v>
      </c>
      <c r="X165" s="28">
        <f>W165</f>
        <v>0.23</v>
      </c>
      <c r="Y165" s="28">
        <f>X165</f>
        <v>0.23</v>
      </c>
      <c r="Z165" s="28">
        <f>Y165</f>
        <v>0.23</v>
      </c>
    </row>
    <row r="166" spans="6:31">
      <c r="F166" s="1" t="s">
        <v>298</v>
      </c>
      <c r="G166" s="22"/>
      <c r="H166" s="22"/>
      <c r="I166" s="22"/>
      <c r="J166" s="22"/>
      <c r="K166" s="22"/>
      <c r="L166" s="22"/>
      <c r="M166" s="22"/>
      <c r="N166" s="22"/>
      <c r="O166" s="22"/>
      <c r="P166" s="22"/>
      <c r="Q166" s="32">
        <v>0.23</v>
      </c>
      <c r="R166" s="28">
        <f>Q166</f>
        <v>0.23</v>
      </c>
      <c r="S166" s="28">
        <f>R166</f>
        <v>0.23</v>
      </c>
      <c r="T166" s="28">
        <f>S166</f>
        <v>0.23</v>
      </c>
      <c r="U166" s="28">
        <f>T166</f>
        <v>0.23</v>
      </c>
      <c r="V166" s="32">
        <v>0.23</v>
      </c>
      <c r="W166" s="32">
        <v>0.23</v>
      </c>
      <c r="X166" s="32">
        <v>0.23</v>
      </c>
      <c r="Y166" s="32">
        <v>0.23</v>
      </c>
      <c r="Z166" s="32">
        <v>0.23</v>
      </c>
    </row>
    <row r="167" spans="6:31">
      <c r="F167" s="1" t="s">
        <v>283</v>
      </c>
      <c r="G167" s="22"/>
      <c r="H167" s="22"/>
      <c r="I167" s="22"/>
      <c r="J167" s="22"/>
      <c r="K167" s="22"/>
      <c r="L167" s="22"/>
      <c r="M167" s="22"/>
      <c r="N167" s="22"/>
      <c r="O167" s="22"/>
      <c r="P167" s="22"/>
      <c r="Q167" s="32">
        <v>0.23</v>
      </c>
      <c r="R167" s="32">
        <v>0.23</v>
      </c>
      <c r="S167" s="32">
        <v>0.23</v>
      </c>
      <c r="T167" s="32">
        <v>0.23</v>
      </c>
      <c r="U167" s="32">
        <v>0.23</v>
      </c>
      <c r="V167" s="32">
        <v>0.23</v>
      </c>
      <c r="W167" s="32">
        <v>0.23</v>
      </c>
      <c r="X167" s="32">
        <v>0.23</v>
      </c>
      <c r="Y167" s="32">
        <v>0.23</v>
      </c>
      <c r="Z167" s="32">
        <v>0.23</v>
      </c>
    </row>
    <row r="168" spans="6:31">
      <c r="F168" s="1" t="s">
        <v>284</v>
      </c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32">
        <v>0.23</v>
      </c>
      <c r="R168" s="32">
        <v>0.23</v>
      </c>
      <c r="S168" s="32">
        <v>0.23</v>
      </c>
      <c r="T168" s="32">
        <v>0.23</v>
      </c>
      <c r="U168" s="32">
        <v>0.23</v>
      </c>
    </row>
    <row r="169" spans="6:31">
      <c r="F169" s="1"/>
      <c r="G169" s="22"/>
      <c r="H169" s="22"/>
      <c r="I169" s="22"/>
      <c r="J169" s="22"/>
      <c r="K169" s="22"/>
      <c r="L169" s="22"/>
      <c r="M169" s="22"/>
      <c r="N169" s="22"/>
      <c r="O169" s="22"/>
      <c r="P169" s="22"/>
      <c r="Q169" s="19"/>
      <c r="V169" s="40"/>
      <c r="W169" s="40"/>
      <c r="X169" s="40"/>
      <c r="Y169" s="40"/>
      <c r="Z169" s="40"/>
      <c r="AE169" s="9"/>
    </row>
    <row r="170" spans="6:31">
      <c r="F170" s="40" t="s">
        <v>152</v>
      </c>
      <c r="G170" s="91" t="str">
        <f t="shared" ref="G170:P170" si="107">IFERROR(-G70/G63, "-")</f>
        <v>-</v>
      </c>
      <c r="H170" s="91" t="str">
        <f t="shared" si="107"/>
        <v>-</v>
      </c>
      <c r="I170" s="91" t="str">
        <f t="shared" si="107"/>
        <v>-</v>
      </c>
      <c r="J170" s="91" t="str">
        <f t="shared" si="107"/>
        <v>-</v>
      </c>
      <c r="K170" s="91">
        <f t="shared" si="107"/>
        <v>0.26038246088468225</v>
      </c>
      <c r="L170" s="91">
        <f t="shared" si="107"/>
        <v>0.24135880212706409</v>
      </c>
      <c r="M170" s="91">
        <f t="shared" si="107"/>
        <v>0.2172360158995334</v>
      </c>
      <c r="N170" s="91">
        <f t="shared" si="107"/>
        <v>0.23142200483234132</v>
      </c>
      <c r="O170" s="91">
        <f t="shared" si="107"/>
        <v>0.25364989571726521</v>
      </c>
      <c r="P170" s="91">
        <f t="shared" si="107"/>
        <v>0.2336343939430825</v>
      </c>
      <c r="Q170" s="41"/>
      <c r="R170" s="40"/>
      <c r="S170" s="40"/>
      <c r="T170" s="40"/>
      <c r="U170" s="40"/>
      <c r="V170" s="28">
        <f>U171</f>
        <v>0.23398557759805561</v>
      </c>
      <c r="W170" s="28">
        <f t="shared" ref="W170:Z170" si="108">V170</f>
        <v>0.23398557759805561</v>
      </c>
      <c r="X170" s="28">
        <f t="shared" si="108"/>
        <v>0.23398557759805561</v>
      </c>
      <c r="Y170" s="28">
        <f t="shared" si="108"/>
        <v>0.23398557759805561</v>
      </c>
      <c r="Z170" s="28">
        <f t="shared" si="108"/>
        <v>0.23398557759805561</v>
      </c>
    </row>
    <row r="171" spans="6:31">
      <c r="F171" s="1" t="s">
        <v>298</v>
      </c>
      <c r="Q171" s="32">
        <f>AVERAGE(M170:P170)</f>
        <v>0.23398557759805561</v>
      </c>
      <c r="R171" s="28">
        <f>Q171</f>
        <v>0.23398557759805561</v>
      </c>
      <c r="S171" s="28">
        <f t="shared" ref="S171:U171" si="109">R171</f>
        <v>0.23398557759805561</v>
      </c>
      <c r="T171" s="28">
        <f t="shared" si="109"/>
        <v>0.23398557759805561</v>
      </c>
      <c r="U171" s="28">
        <f t="shared" si="109"/>
        <v>0.23398557759805561</v>
      </c>
      <c r="V171" s="32">
        <v>0.23400000000000001</v>
      </c>
      <c r="W171" s="32">
        <v>0.23400000000000001</v>
      </c>
      <c r="X171" s="32">
        <v>0.23400000000000001</v>
      </c>
      <c r="Y171" s="32">
        <v>0.23400000000000001</v>
      </c>
      <c r="Z171" s="32">
        <v>0.23400000000000001</v>
      </c>
    </row>
    <row r="172" spans="6:31">
      <c r="F172" s="1" t="s">
        <v>283</v>
      </c>
      <c r="Q172" s="32">
        <v>0.23400000000000001</v>
      </c>
      <c r="R172" s="32">
        <v>0.23400000000000001</v>
      </c>
      <c r="S172" s="32">
        <v>0.23400000000000001</v>
      </c>
      <c r="T172" s="32">
        <v>0.23400000000000001</v>
      </c>
      <c r="U172" s="32">
        <v>0.23400000000000001</v>
      </c>
      <c r="V172" s="32">
        <v>0.23400000000000001</v>
      </c>
      <c r="W172" s="32">
        <v>0.23400000000000001</v>
      </c>
      <c r="X172" s="32">
        <v>0.23400000000000001</v>
      </c>
      <c r="Y172" s="32">
        <v>0.23400000000000001</v>
      </c>
      <c r="Z172" s="32">
        <v>0.23400000000000001</v>
      </c>
    </row>
    <row r="173" spans="6:31">
      <c r="F173" s="1" t="s">
        <v>284</v>
      </c>
      <c r="Q173" s="32">
        <v>0.23400000000000001</v>
      </c>
      <c r="R173" s="32">
        <v>0.23400000000000001</v>
      </c>
      <c r="S173" s="32">
        <v>0.23400000000000001</v>
      </c>
      <c r="T173" s="32">
        <v>0.23400000000000001</v>
      </c>
      <c r="U173" s="32">
        <v>0.23400000000000001</v>
      </c>
    </row>
    <row r="174" spans="6:31">
      <c r="F174" s="1"/>
      <c r="Q174" s="19"/>
      <c r="V174" s="39">
        <f>U175+1</f>
        <v>2031</v>
      </c>
      <c r="W174" s="39">
        <f t="shared" ref="U174:Z175" si="110">V174+1</f>
        <v>2032</v>
      </c>
      <c r="X174" s="39">
        <f t="shared" si="110"/>
        <v>2033</v>
      </c>
      <c r="Y174" s="39">
        <f t="shared" si="110"/>
        <v>2034</v>
      </c>
      <c r="Z174" s="39">
        <f t="shared" si="110"/>
        <v>2035</v>
      </c>
    </row>
    <row r="175" spans="6:31">
      <c r="F175" s="89" t="s">
        <v>296</v>
      </c>
      <c r="G175" s="18">
        <f>$G$4</f>
        <v>2016</v>
      </c>
      <c r="H175" s="18">
        <f>$H$4</f>
        <v>2017</v>
      </c>
      <c r="I175" s="18">
        <f>$I$4</f>
        <v>2018</v>
      </c>
      <c r="J175" s="18">
        <f>$J$4</f>
        <v>2019</v>
      </c>
      <c r="K175" s="18">
        <f>$K$4</f>
        <v>2020</v>
      </c>
      <c r="L175" s="18">
        <f>$L$4</f>
        <v>2021</v>
      </c>
      <c r="M175" s="18">
        <f>$M$4</f>
        <v>2022</v>
      </c>
      <c r="N175" s="18">
        <f>$N$4</f>
        <v>2023</v>
      </c>
      <c r="O175" s="18">
        <f>$O$4</f>
        <v>2024</v>
      </c>
      <c r="P175" s="18">
        <f>$P$4</f>
        <v>2025</v>
      </c>
      <c r="Q175" s="38">
        <f>P175+1</f>
        <v>2026</v>
      </c>
      <c r="R175" s="39">
        <f t="shared" ref="R175" si="111">Q175+1</f>
        <v>2027</v>
      </c>
      <c r="S175" s="39">
        <f t="shared" ref="S175" si="112">R175+1</f>
        <v>2028</v>
      </c>
      <c r="T175" s="39">
        <f t="shared" ref="T175" si="113">S175+1</f>
        <v>2029</v>
      </c>
      <c r="U175" s="39">
        <f t="shared" si="110"/>
        <v>2030</v>
      </c>
    </row>
    <row r="176" spans="6:31">
      <c r="F176" s="14" t="s">
        <v>55</v>
      </c>
      <c r="Q176" s="19"/>
      <c r="V176" s="40"/>
      <c r="W176" s="40"/>
      <c r="X176" s="40"/>
      <c r="Y176" s="40"/>
      <c r="Z176" s="40"/>
    </row>
    <row r="177" spans="6:26">
      <c r="F177" s="94" t="s">
        <v>144</v>
      </c>
      <c r="G177" s="93" t="str">
        <f>IFERROR((G77/G5)*365,"-")</f>
        <v>-</v>
      </c>
      <c r="H177" s="93" t="str">
        <f>IFERROR((H77/H5)*365,"-")</f>
        <v>-</v>
      </c>
      <c r="I177" s="93" t="str">
        <f>IFERROR((I77/I5)*365,"-")</f>
        <v>-</v>
      </c>
      <c r="J177" s="93">
        <f>IFERROR((J77/J5)*365,"-")</f>
        <v>84.334727364747877</v>
      </c>
      <c r="K177" s="93">
        <f>IFERROR((K77/K5)*365,"-")</f>
        <v>81.513265718670255</v>
      </c>
      <c r="L177" s="93">
        <f>IFERROR((((L77+K77)/2)/L5)*365,"-")</f>
        <v>75.847238765053973</v>
      </c>
      <c r="M177" s="93">
        <f>IFERROR((((M77+L77)/2)/M5)*365,"-")</f>
        <v>74.07804263318998</v>
      </c>
      <c r="N177" s="93">
        <f>IFERROR((((N77+M77)/2)/N5)*365,"-")</f>
        <v>73.55481913976503</v>
      </c>
      <c r="O177" s="93">
        <f>IFERROR((((O77+N77)/2)/O5)*365,"-")</f>
        <v>73.451073990094216</v>
      </c>
      <c r="P177" s="93">
        <f>IFERROR((((P77+O77)/2)/P5)*365,"-")</f>
        <v>72.372682044323838</v>
      </c>
      <c r="Q177" s="41"/>
      <c r="R177" s="40"/>
      <c r="S177" s="40"/>
      <c r="T177" s="40"/>
      <c r="U177" s="40"/>
      <c r="V177" s="44">
        <f>U178-0.5</f>
        <v>69.372682044323838</v>
      </c>
      <c r="W177" s="44">
        <f t="shared" ref="S177:Z178" si="114">V177-0.5</f>
        <v>68.872682044323838</v>
      </c>
      <c r="X177" s="44">
        <f t="shared" si="114"/>
        <v>68.372682044323838</v>
      </c>
      <c r="Y177" s="44">
        <f t="shared" si="114"/>
        <v>67.872682044323838</v>
      </c>
      <c r="Z177" s="44">
        <f t="shared" si="114"/>
        <v>67.372682044323838</v>
      </c>
    </row>
    <row r="178" spans="6:26">
      <c r="F178" s="95" t="s">
        <v>298</v>
      </c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43">
        <f>P177-0.5</f>
        <v>71.872682044323838</v>
      </c>
      <c r="R178" s="44">
        <f>Q178-0.5</f>
        <v>71.372682044323838</v>
      </c>
      <c r="S178" s="44">
        <f t="shared" si="114"/>
        <v>70.872682044323838</v>
      </c>
      <c r="T178" s="44">
        <f t="shared" si="114"/>
        <v>70.372682044323838</v>
      </c>
      <c r="U178" s="44">
        <f t="shared" si="114"/>
        <v>69.872682044323838</v>
      </c>
      <c r="V178" s="44">
        <f>U179</f>
        <v>72.372682044323838</v>
      </c>
      <c r="W178" s="44">
        <f t="shared" ref="S178:Z179" si="115">V178</f>
        <v>72.372682044323838</v>
      </c>
      <c r="X178" s="44">
        <f t="shared" si="115"/>
        <v>72.372682044323838</v>
      </c>
      <c r="Y178" s="44">
        <f t="shared" si="115"/>
        <v>72.372682044323838</v>
      </c>
      <c r="Z178" s="44">
        <f t="shared" si="115"/>
        <v>72.372682044323838</v>
      </c>
    </row>
    <row r="179" spans="6:26">
      <c r="F179" s="95" t="s">
        <v>283</v>
      </c>
      <c r="G179" s="25"/>
      <c r="H179" s="25"/>
      <c r="I179" s="25"/>
      <c r="J179" s="25"/>
      <c r="K179" s="25"/>
      <c r="L179" s="25"/>
      <c r="M179" s="25"/>
      <c r="N179" s="25"/>
      <c r="O179" s="25"/>
      <c r="P179" s="25"/>
      <c r="Q179" s="43">
        <f>P177</f>
        <v>72.372682044323838</v>
      </c>
      <c r="R179" s="44">
        <f>Q179</f>
        <v>72.372682044323838</v>
      </c>
      <c r="S179" s="44">
        <f t="shared" si="115"/>
        <v>72.372682044323838</v>
      </c>
      <c r="T179" s="44">
        <f t="shared" si="115"/>
        <v>72.372682044323838</v>
      </c>
      <c r="U179" s="44">
        <f t="shared" si="115"/>
        <v>72.372682044323838</v>
      </c>
      <c r="V179" s="44">
        <f>U180+1</f>
        <v>78.372682044323838</v>
      </c>
      <c r="W179" s="44">
        <f t="shared" ref="S179:Z180" si="116">V179+1</f>
        <v>79.372682044323838</v>
      </c>
      <c r="X179" s="44">
        <f t="shared" si="116"/>
        <v>80.372682044323838</v>
      </c>
      <c r="Y179" s="44">
        <f t="shared" si="116"/>
        <v>81.372682044323838</v>
      </c>
      <c r="Z179" s="44">
        <f t="shared" si="116"/>
        <v>82.372682044323838</v>
      </c>
    </row>
    <row r="180" spans="6:26">
      <c r="F180" s="95" t="s">
        <v>284</v>
      </c>
      <c r="G180" s="25"/>
      <c r="H180" s="25"/>
      <c r="I180" s="25"/>
      <c r="J180" s="25"/>
      <c r="K180" s="25"/>
      <c r="L180" s="25"/>
      <c r="M180" s="25"/>
      <c r="N180" s="25"/>
      <c r="O180" s="25"/>
      <c r="P180" s="25"/>
      <c r="Q180" s="43">
        <f>P177+1</f>
        <v>73.372682044323838</v>
      </c>
      <c r="R180" s="44">
        <f>Q180+1</f>
        <v>74.372682044323838</v>
      </c>
      <c r="S180" s="44">
        <f t="shared" si="116"/>
        <v>75.372682044323838</v>
      </c>
      <c r="T180" s="44">
        <f t="shared" si="116"/>
        <v>76.372682044323838</v>
      </c>
      <c r="U180" s="44">
        <f t="shared" si="116"/>
        <v>77.372682044323838</v>
      </c>
    </row>
    <row r="181" spans="6:26">
      <c r="Q181" s="19"/>
      <c r="V181" s="40"/>
      <c r="W181" s="40"/>
      <c r="X181" s="40"/>
      <c r="Y181" s="40"/>
      <c r="Z181" s="40"/>
    </row>
    <row r="182" spans="6:26">
      <c r="F182" s="94" t="s">
        <v>145</v>
      </c>
      <c r="G182" s="93" t="str">
        <f>IFERROR((G80/-G8)*365,"-")</f>
        <v>-</v>
      </c>
      <c r="H182" s="93" t="str">
        <f>IFERROR((H80/-H8)*365,"-")</f>
        <v>-</v>
      </c>
      <c r="I182" s="93" t="str">
        <f>IFERROR((I80/-I8)*365,"-")</f>
        <v>-</v>
      </c>
      <c r="J182" s="93">
        <f>IFERROR((J80/-J8)*365,"-")</f>
        <v>37.660809364723079</v>
      </c>
      <c r="K182" s="93">
        <f>IFERROR((K80/-K8)*365,"-")</f>
        <v>37.712124469810988</v>
      </c>
      <c r="L182" s="93">
        <f>IFERROR((((L80+K80)/2)/-L8)*365,"-")</f>
        <v>38.718599641138752</v>
      </c>
      <c r="M182" s="93">
        <f>IFERROR((((M80+L80)/2)/-M8)*365,"-")</f>
        <v>41.624920727333219</v>
      </c>
      <c r="N182" s="93">
        <f>IFERROR((((N80+M80)/2)/-N8)*365,"-")</f>
        <v>41.843009603903262</v>
      </c>
      <c r="O182" s="93">
        <f>IFERROR((((O80+N80)/2)/-O8)*365,"-")</f>
        <v>40.434919577136284</v>
      </c>
      <c r="P182" s="93">
        <f>IFERROR((((P80+O80)/2)/-P8)*365,"-")</f>
        <v>42.09804637062819</v>
      </c>
      <c r="Q182" s="41"/>
      <c r="R182" s="40"/>
      <c r="S182" s="40"/>
      <c r="T182" s="40"/>
      <c r="U182" s="40"/>
      <c r="V182" s="43">
        <f>U183-0.2</f>
        <v>38.999999999999986</v>
      </c>
      <c r="W182" s="43">
        <f t="shared" ref="S182:Z183" si="117">V182-0.2</f>
        <v>38.799999999999983</v>
      </c>
      <c r="X182" s="43">
        <f t="shared" si="117"/>
        <v>38.59999999999998</v>
      </c>
      <c r="Y182" s="43">
        <f t="shared" si="117"/>
        <v>38.399999999999977</v>
      </c>
      <c r="Z182" s="43">
        <f t="shared" si="117"/>
        <v>38.199999999999974</v>
      </c>
    </row>
    <row r="183" spans="6:26">
      <c r="F183" s="95" t="s">
        <v>298</v>
      </c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43">
        <f>40</f>
        <v>40</v>
      </c>
      <c r="R183" s="43">
        <f>Q183-0.2</f>
        <v>39.799999999999997</v>
      </c>
      <c r="S183" s="43">
        <f t="shared" si="117"/>
        <v>39.599999999999994</v>
      </c>
      <c r="T183" s="43">
        <f t="shared" si="117"/>
        <v>39.399999999999991</v>
      </c>
      <c r="U183" s="43">
        <f t="shared" si="117"/>
        <v>39.199999999999989</v>
      </c>
      <c r="V183" s="43">
        <v>42</v>
      </c>
      <c r="W183" s="43">
        <v>42</v>
      </c>
      <c r="X183" s="43">
        <v>42</v>
      </c>
      <c r="Y183" s="43">
        <v>42</v>
      </c>
      <c r="Z183" s="43">
        <v>42</v>
      </c>
    </row>
    <row r="184" spans="6:26">
      <c r="F184" s="95" t="s">
        <v>283</v>
      </c>
      <c r="G184" s="25"/>
      <c r="H184" s="25"/>
      <c r="I184" s="25"/>
      <c r="J184" s="25"/>
      <c r="K184" s="25"/>
      <c r="L184" s="25"/>
      <c r="M184" s="25"/>
      <c r="N184" s="25"/>
      <c r="O184" s="25"/>
      <c r="P184" s="25"/>
      <c r="Q184" s="43">
        <v>42</v>
      </c>
      <c r="R184" s="43">
        <v>42</v>
      </c>
      <c r="S184" s="43">
        <v>42</v>
      </c>
      <c r="T184" s="43">
        <v>42</v>
      </c>
      <c r="U184" s="43">
        <v>42</v>
      </c>
      <c r="V184" s="43">
        <f>U185+0.25</f>
        <v>43.25</v>
      </c>
      <c r="W184" s="43">
        <f t="shared" ref="S184:Z185" si="118">V184+0.25</f>
        <v>43.5</v>
      </c>
      <c r="X184" s="43">
        <f t="shared" si="118"/>
        <v>43.75</v>
      </c>
      <c r="Y184" s="43">
        <f t="shared" si="118"/>
        <v>44</v>
      </c>
      <c r="Z184" s="43">
        <f t="shared" si="118"/>
        <v>44.25</v>
      </c>
    </row>
    <row r="185" spans="6:26">
      <c r="F185" s="95" t="s">
        <v>284</v>
      </c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43">
        <f>Q184</f>
        <v>42</v>
      </c>
      <c r="R185" s="43">
        <f>Q185+0.25</f>
        <v>42.25</v>
      </c>
      <c r="S185" s="43">
        <f t="shared" si="118"/>
        <v>42.5</v>
      </c>
      <c r="T185" s="43">
        <f t="shared" si="118"/>
        <v>42.75</v>
      </c>
      <c r="U185" s="43">
        <f t="shared" si="118"/>
        <v>43</v>
      </c>
    </row>
    <row r="186" spans="6:26">
      <c r="Q186" s="19"/>
      <c r="V186" s="40"/>
      <c r="W186" s="40"/>
      <c r="X186" s="40"/>
      <c r="Y186" s="40"/>
      <c r="Z186" s="40"/>
    </row>
    <row r="187" spans="6:26">
      <c r="F187" s="94" t="s">
        <v>147</v>
      </c>
      <c r="G187" s="91" t="str">
        <f t="shared" ref="G187:P187" si="119">IFERROR(G83/G5, "-")</f>
        <v>-</v>
      </c>
      <c r="H187" s="91" t="str">
        <f t="shared" si="119"/>
        <v>-</v>
      </c>
      <c r="I187" s="91" t="str">
        <f t="shared" si="119"/>
        <v>-</v>
      </c>
      <c r="J187" s="91">
        <f t="shared" si="119"/>
        <v>0</v>
      </c>
      <c r="K187" s="91">
        <f t="shared" si="119"/>
        <v>0</v>
      </c>
      <c r="L187" s="91">
        <f t="shared" si="119"/>
        <v>0</v>
      </c>
      <c r="M187" s="91">
        <f t="shared" si="119"/>
        <v>0</v>
      </c>
      <c r="N187" s="91">
        <f t="shared" si="119"/>
        <v>0</v>
      </c>
      <c r="O187" s="91">
        <f t="shared" si="119"/>
        <v>0</v>
      </c>
      <c r="P187" s="91">
        <f t="shared" si="119"/>
        <v>0</v>
      </c>
      <c r="Q187" s="41"/>
      <c r="R187" s="40"/>
      <c r="S187" s="40"/>
      <c r="T187" s="40"/>
      <c r="U187" s="40"/>
      <c r="V187" s="28">
        <f>U188</f>
        <v>0</v>
      </c>
      <c r="W187" s="28">
        <f>V187</f>
        <v>0</v>
      </c>
      <c r="X187" s="28">
        <f>W187</f>
        <v>0</v>
      </c>
      <c r="Y187" s="28">
        <f>X187</f>
        <v>0</v>
      </c>
      <c r="Z187" s="28">
        <f>Y187</f>
        <v>0</v>
      </c>
    </row>
    <row r="188" spans="6:26">
      <c r="F188" s="95" t="s">
        <v>298</v>
      </c>
      <c r="G188" s="22"/>
      <c r="H188" s="22"/>
      <c r="I188" s="22"/>
      <c r="J188" s="22"/>
      <c r="K188" s="22"/>
      <c r="L188" s="22"/>
      <c r="M188" s="22"/>
      <c r="N188" s="22"/>
      <c r="O188" s="22"/>
      <c r="P188" s="22"/>
      <c r="Q188" s="32">
        <f>AVERAGE(L187:P187)</f>
        <v>0</v>
      </c>
      <c r="R188" s="28">
        <f>Q188</f>
        <v>0</v>
      </c>
      <c r="S188" s="28">
        <f>R188</f>
        <v>0</v>
      </c>
      <c r="T188" s="28">
        <f>S188</f>
        <v>0</v>
      </c>
      <c r="U188" s="28">
        <f>T188</f>
        <v>0</v>
      </c>
      <c r="V188" s="32">
        <v>0</v>
      </c>
      <c r="W188" s="32">
        <v>0</v>
      </c>
      <c r="X188" s="32">
        <v>0</v>
      </c>
      <c r="Y188" s="32">
        <v>0</v>
      </c>
      <c r="Z188" s="32">
        <v>0</v>
      </c>
    </row>
    <row r="189" spans="6:26">
      <c r="F189" s="95" t="s">
        <v>283</v>
      </c>
      <c r="G189" s="22"/>
      <c r="H189" s="22"/>
      <c r="I189" s="22"/>
      <c r="J189" s="22"/>
      <c r="K189" s="22"/>
      <c r="L189" s="22"/>
      <c r="M189" s="22"/>
      <c r="N189" s="22"/>
      <c r="O189" s="22"/>
      <c r="P189" s="22"/>
      <c r="Q189" s="32">
        <v>0</v>
      </c>
      <c r="R189" s="32">
        <v>0</v>
      </c>
      <c r="S189" s="32">
        <v>0</v>
      </c>
      <c r="T189" s="32">
        <v>0</v>
      </c>
      <c r="U189" s="32">
        <v>0</v>
      </c>
      <c r="V189" s="32">
        <v>0</v>
      </c>
      <c r="W189" s="32">
        <v>0</v>
      </c>
      <c r="X189" s="32">
        <v>0</v>
      </c>
      <c r="Y189" s="32">
        <v>0</v>
      </c>
      <c r="Z189" s="32">
        <v>0</v>
      </c>
    </row>
    <row r="190" spans="6:26">
      <c r="F190" s="95" t="s">
        <v>284</v>
      </c>
      <c r="G190" s="22"/>
      <c r="H190" s="22"/>
      <c r="I190" s="22"/>
      <c r="J190" s="22"/>
      <c r="K190" s="22"/>
      <c r="L190" s="22"/>
      <c r="M190" s="22"/>
      <c r="N190" s="22"/>
      <c r="O190" s="22"/>
      <c r="P190" s="22"/>
      <c r="Q190" s="32">
        <v>0</v>
      </c>
      <c r="R190" s="32">
        <v>0</v>
      </c>
      <c r="S190" s="32">
        <v>0</v>
      </c>
      <c r="T190" s="32">
        <v>0</v>
      </c>
      <c r="U190" s="32">
        <v>0</v>
      </c>
    </row>
    <row r="191" spans="6:26">
      <c r="Q191" s="19"/>
      <c r="V191" s="40"/>
      <c r="W191" s="40"/>
      <c r="X191" s="40"/>
      <c r="Y191" s="40"/>
      <c r="Z191" s="40"/>
    </row>
    <row r="192" spans="6:26">
      <c r="F192" s="94" t="s">
        <v>150</v>
      </c>
      <c r="G192" s="91" t="str">
        <f t="shared" ref="G192:P192" si="120">IFERROR(G86/G5,"-")</f>
        <v>-</v>
      </c>
      <c r="H192" s="91" t="str">
        <f t="shared" si="120"/>
        <v>-</v>
      </c>
      <c r="I192" s="91" t="str">
        <f t="shared" si="120"/>
        <v>-</v>
      </c>
      <c r="J192" s="91">
        <f t="shared" si="120"/>
        <v>0</v>
      </c>
      <c r="K192" s="91">
        <f t="shared" si="120"/>
        <v>0</v>
      </c>
      <c r="L192" s="91">
        <f t="shared" si="120"/>
        <v>0</v>
      </c>
      <c r="M192" s="91">
        <f t="shared" si="120"/>
        <v>2.324132065791875E-3</v>
      </c>
      <c r="N192" s="91">
        <f t="shared" si="120"/>
        <v>8.0152753336135715E-4</v>
      </c>
      <c r="O192" s="91">
        <f t="shared" si="120"/>
        <v>1.7348074881541132E-3</v>
      </c>
      <c r="P192" s="91">
        <f t="shared" si="120"/>
        <v>7.2748147375013049E-3</v>
      </c>
      <c r="Q192" s="41"/>
      <c r="R192" s="40"/>
      <c r="S192" s="40"/>
      <c r="T192" s="40"/>
      <c r="U192" s="40"/>
      <c r="V192" s="28">
        <f>U193</f>
        <v>0.01</v>
      </c>
      <c r="W192" s="28">
        <f t="shared" ref="W192:Z192" si="121">V192</f>
        <v>0.01</v>
      </c>
      <c r="X192" s="28">
        <f t="shared" si="121"/>
        <v>0.01</v>
      </c>
      <c r="Y192" s="28">
        <f t="shared" si="121"/>
        <v>0.01</v>
      </c>
      <c r="Z192" s="28">
        <f t="shared" si="121"/>
        <v>0.01</v>
      </c>
    </row>
    <row r="193" spans="6:26">
      <c r="F193" s="95" t="s">
        <v>298</v>
      </c>
      <c r="Q193" s="32">
        <v>0.01</v>
      </c>
      <c r="R193" s="28">
        <f>Q193</f>
        <v>0.01</v>
      </c>
      <c r="S193" s="28">
        <f t="shared" ref="S193:U193" si="122">R193</f>
        <v>0.01</v>
      </c>
      <c r="T193" s="28">
        <f t="shared" si="122"/>
        <v>0.01</v>
      </c>
      <c r="U193" s="28">
        <f t="shared" si="122"/>
        <v>0.01</v>
      </c>
      <c r="V193" s="27">
        <v>0.01</v>
      </c>
      <c r="W193" s="27">
        <v>0.01</v>
      </c>
      <c r="X193" s="27">
        <v>0.01</v>
      </c>
      <c r="Y193" s="27">
        <v>0.01</v>
      </c>
      <c r="Z193" s="27">
        <v>0.01</v>
      </c>
    </row>
    <row r="194" spans="6:26">
      <c r="F194" s="95" t="s">
        <v>283</v>
      </c>
      <c r="Q194" s="27">
        <v>0.01</v>
      </c>
      <c r="R194" s="27">
        <v>0.01</v>
      </c>
      <c r="S194" s="27">
        <v>0.01</v>
      </c>
      <c r="T194" s="27">
        <v>0.01</v>
      </c>
      <c r="U194" s="27">
        <v>0.01</v>
      </c>
      <c r="V194" s="27">
        <v>0.01</v>
      </c>
      <c r="W194" s="27">
        <v>0.01</v>
      </c>
      <c r="X194" s="27">
        <v>0.01</v>
      </c>
      <c r="Y194" s="27">
        <v>0.01</v>
      </c>
      <c r="Z194" s="27">
        <v>0.01</v>
      </c>
    </row>
    <row r="195" spans="6:26">
      <c r="F195" s="95" t="s">
        <v>284</v>
      </c>
      <c r="Q195" s="27">
        <v>0.01</v>
      </c>
      <c r="R195" s="27">
        <v>0.01</v>
      </c>
      <c r="S195" s="27">
        <v>0.01</v>
      </c>
      <c r="T195" s="27">
        <v>0.01</v>
      </c>
      <c r="U195" s="27">
        <v>0.01</v>
      </c>
    </row>
    <row r="196" spans="6:26">
      <c r="Q196" s="19"/>
    </row>
    <row r="197" spans="6:26">
      <c r="F197" s="90" t="s">
        <v>73</v>
      </c>
      <c r="G197" s="25"/>
      <c r="H197" s="25"/>
      <c r="I197" s="25"/>
      <c r="J197" s="25"/>
      <c r="K197" s="25"/>
      <c r="L197" s="25"/>
      <c r="M197" s="25"/>
      <c r="N197" s="25"/>
      <c r="O197" s="25"/>
      <c r="P197" s="25"/>
      <c r="Q197" s="19"/>
      <c r="V197" s="40"/>
      <c r="W197" s="40"/>
      <c r="X197" s="40"/>
      <c r="Y197" s="40"/>
      <c r="Z197" s="40"/>
    </row>
    <row r="198" spans="6:26">
      <c r="F198" s="94" t="s">
        <v>146</v>
      </c>
      <c r="G198" s="93" t="str">
        <f>IFERROR((-G90/G8)*365, "-")</f>
        <v>-</v>
      </c>
      <c r="H198" s="93" t="str">
        <f>IFERROR((-H90/H8)*365, "-")</f>
        <v>-</v>
      </c>
      <c r="I198" s="93" t="str">
        <f>IFERROR((-I90/I8)*365, "-")</f>
        <v>-</v>
      </c>
      <c r="J198" s="93">
        <f>IFERROR((-J90/J8)*365, "-")</f>
        <v>86.212839954063796</v>
      </c>
      <c r="K198" s="93">
        <f>IFERROR((-K90/K8)*365, "-")</f>
        <v>84.71316041515999</v>
      </c>
      <c r="L198" s="93">
        <f>IFERROR((-((L90+K90)/2)/L8)*365, "-")</f>
        <v>81.102884032960375</v>
      </c>
      <c r="M198" s="93">
        <f>IFERROR((-((M90+L90)/2)/M8)*365, "-")</f>
        <v>74.411056067867804</v>
      </c>
      <c r="N198" s="93">
        <f>IFERROR((-((N90+M90)/2)/N8)*365, "-")</f>
        <v>69.454745676529569</v>
      </c>
      <c r="O198" s="93">
        <f>IFERROR((-((O90+N90)/2)/O8)*365, "-")</f>
        <v>71.594750552812528</v>
      </c>
      <c r="P198" s="93">
        <f>IFERROR((-((P90+O90)/2)/P8)*365, "-")</f>
        <v>78.119589625554369</v>
      </c>
      <c r="Q198" s="41"/>
      <c r="R198" s="40"/>
      <c r="S198" s="40"/>
      <c r="T198" s="40"/>
      <c r="U198" s="40"/>
      <c r="V198" s="43">
        <f>U199+1</f>
        <v>84.119589625554369</v>
      </c>
      <c r="W198" s="43">
        <f t="shared" ref="S198:Z199" si="123">V198+1</f>
        <v>85.119589625554369</v>
      </c>
      <c r="X198" s="43">
        <f t="shared" si="123"/>
        <v>86.119589625554369</v>
      </c>
      <c r="Y198" s="43">
        <f t="shared" si="123"/>
        <v>87.119589625554369</v>
      </c>
      <c r="Z198" s="43">
        <f t="shared" si="123"/>
        <v>88.119589625554369</v>
      </c>
    </row>
    <row r="199" spans="6:26">
      <c r="F199" s="95" t="s">
        <v>298</v>
      </c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43">
        <f>P198+1</f>
        <v>79.119589625554369</v>
      </c>
      <c r="R199" s="43">
        <f>Q199+1</f>
        <v>80.119589625554369</v>
      </c>
      <c r="S199" s="43">
        <f t="shared" si="123"/>
        <v>81.119589625554369</v>
      </c>
      <c r="T199" s="43">
        <f t="shared" si="123"/>
        <v>82.119589625554369</v>
      </c>
      <c r="U199" s="43">
        <f t="shared" si="123"/>
        <v>83.119589625554369</v>
      </c>
      <c r="V199" s="43">
        <f>U200+0.2</f>
        <v>79.319589625554386</v>
      </c>
      <c r="W199" s="43">
        <f t="shared" ref="S199:Z200" si="124">V199+0.2</f>
        <v>79.519589625554389</v>
      </c>
      <c r="X199" s="43">
        <f t="shared" si="124"/>
        <v>79.719589625554391</v>
      </c>
      <c r="Y199" s="43">
        <f t="shared" si="124"/>
        <v>79.919589625554394</v>
      </c>
      <c r="Z199" s="43">
        <f t="shared" si="124"/>
        <v>80.119589625554397</v>
      </c>
    </row>
    <row r="200" spans="6:26">
      <c r="F200" s="95" t="s">
        <v>283</v>
      </c>
      <c r="G200" s="25"/>
      <c r="H200" s="25"/>
      <c r="I200" s="25"/>
      <c r="J200" s="25"/>
      <c r="K200" s="25"/>
      <c r="L200" s="25"/>
      <c r="M200" s="25"/>
      <c r="N200" s="25"/>
      <c r="O200" s="25"/>
      <c r="P200" s="25"/>
      <c r="Q200" s="43">
        <f>P198+0.2</f>
        <v>78.319589625554372</v>
      </c>
      <c r="R200" s="43">
        <f>Q200+0.2</f>
        <v>78.519589625554374</v>
      </c>
      <c r="S200" s="43">
        <f t="shared" si="124"/>
        <v>78.719589625554377</v>
      </c>
      <c r="T200" s="43">
        <f t="shared" si="124"/>
        <v>78.91958962555438</v>
      </c>
      <c r="U200" s="43">
        <f t="shared" si="124"/>
        <v>79.119589625554383</v>
      </c>
      <c r="V200" s="43">
        <f>U201-1</f>
        <v>73.119589625554369</v>
      </c>
      <c r="W200" s="43">
        <f t="shared" ref="S200:Z201" si="125">V200-1</f>
        <v>72.119589625554369</v>
      </c>
      <c r="X200" s="43">
        <f t="shared" si="125"/>
        <v>71.119589625554369</v>
      </c>
      <c r="Y200" s="43">
        <f t="shared" si="125"/>
        <v>70.119589625554369</v>
      </c>
      <c r="Z200" s="43">
        <f t="shared" si="125"/>
        <v>69.119589625554369</v>
      </c>
    </row>
    <row r="201" spans="6:26">
      <c r="F201" s="95" t="s">
        <v>284</v>
      </c>
      <c r="G201" s="25"/>
      <c r="H201" s="25"/>
      <c r="I201" s="25"/>
      <c r="J201" s="25"/>
      <c r="K201" s="25"/>
      <c r="L201" s="25"/>
      <c r="M201" s="25"/>
      <c r="N201" s="25"/>
      <c r="O201" s="25"/>
      <c r="P201" s="25"/>
      <c r="Q201" s="43">
        <f>P198</f>
        <v>78.119589625554369</v>
      </c>
      <c r="R201" s="43">
        <f>Q201-1</f>
        <v>77.119589625554369</v>
      </c>
      <c r="S201" s="43">
        <f t="shared" si="125"/>
        <v>76.119589625554369</v>
      </c>
      <c r="T201" s="43">
        <f t="shared" si="125"/>
        <v>75.119589625554369</v>
      </c>
      <c r="U201" s="43">
        <f t="shared" si="125"/>
        <v>74.119589625554369</v>
      </c>
    </row>
    <row r="202" spans="6:26">
      <c r="Q202" s="19"/>
      <c r="V202" s="40"/>
      <c r="W202" s="40"/>
      <c r="X202" s="40"/>
      <c r="Y202" s="40"/>
      <c r="Z202" s="40"/>
    </row>
    <row r="203" spans="6:26">
      <c r="F203" s="94" t="s">
        <v>148</v>
      </c>
      <c r="G203" s="91" t="str">
        <f t="shared" ref="G203:P203" si="126">IFERROR(G93/G5,"-")</f>
        <v>-</v>
      </c>
      <c r="H203" s="91" t="str">
        <f t="shared" si="126"/>
        <v>-</v>
      </c>
      <c r="I203" s="91" t="str">
        <f t="shared" si="126"/>
        <v>-</v>
      </c>
      <c r="J203" s="91">
        <f t="shared" si="126"/>
        <v>2.9097076085701855E-2</v>
      </c>
      <c r="K203" s="91">
        <f t="shared" si="126"/>
        <v>3.0330958270478939E-2</v>
      </c>
      <c r="L203" s="91">
        <f t="shared" si="126"/>
        <v>4.4251602291418522E-2</v>
      </c>
      <c r="M203" s="91">
        <f t="shared" si="126"/>
        <v>3.5006593648749619E-2</v>
      </c>
      <c r="N203" s="91">
        <f t="shared" si="126"/>
        <v>4.0614290701568141E-2</v>
      </c>
      <c r="O203" s="91">
        <f t="shared" si="126"/>
        <v>2.9506523098092451E-2</v>
      </c>
      <c r="P203" s="91">
        <f t="shared" si="126"/>
        <v>2.7752844170754618E-2</v>
      </c>
      <c r="Q203" s="41"/>
      <c r="R203" s="40"/>
      <c r="S203" s="40"/>
      <c r="T203" s="40"/>
      <c r="U203" s="40"/>
      <c r="V203" s="28">
        <f>U204</f>
        <v>3.4599999999999999E-2</v>
      </c>
      <c r="W203" s="28">
        <f>V203</f>
        <v>3.4599999999999999E-2</v>
      </c>
      <c r="X203" s="28">
        <f>W203</f>
        <v>3.4599999999999999E-2</v>
      </c>
      <c r="Y203" s="28">
        <f>X203</f>
        <v>3.4599999999999999E-2</v>
      </c>
      <c r="Z203" s="28">
        <f>Y203</f>
        <v>3.4599999999999999E-2</v>
      </c>
    </row>
    <row r="204" spans="6:26">
      <c r="F204" s="95" t="s">
        <v>298</v>
      </c>
      <c r="G204" s="22"/>
      <c r="H204" s="22"/>
      <c r="I204" s="22"/>
      <c r="J204" s="22"/>
      <c r="K204" s="22"/>
      <c r="L204" s="22"/>
      <c r="M204" s="22"/>
      <c r="N204" s="22"/>
      <c r="O204" s="22"/>
      <c r="P204" s="22"/>
      <c r="Q204" s="32">
        <f>AVERAGE(K203:P203)</f>
        <v>3.4577135363510376E-2</v>
      </c>
      <c r="R204" s="28">
        <v>3.4599999999999999E-2</v>
      </c>
      <c r="S204" s="28">
        <f>R204</f>
        <v>3.4599999999999999E-2</v>
      </c>
      <c r="T204" s="28">
        <f>S204</f>
        <v>3.4599999999999999E-2</v>
      </c>
      <c r="U204" s="28">
        <f>T204</f>
        <v>3.4599999999999999E-2</v>
      </c>
      <c r="V204" s="32">
        <v>0</v>
      </c>
      <c r="W204" s="32">
        <v>0</v>
      </c>
      <c r="X204" s="32">
        <v>0</v>
      </c>
      <c r="Y204" s="32">
        <v>0</v>
      </c>
      <c r="Z204" s="32">
        <v>0</v>
      </c>
    </row>
    <row r="205" spans="6:26">
      <c r="F205" s="95" t="s">
        <v>283</v>
      </c>
      <c r="G205" s="22"/>
      <c r="H205" s="22"/>
      <c r="I205" s="22"/>
      <c r="J205" s="22"/>
      <c r="K205" s="22"/>
      <c r="L205" s="22"/>
      <c r="M205" s="22"/>
      <c r="N205" s="22"/>
      <c r="O205" s="22"/>
      <c r="P205" s="22"/>
      <c r="Q205" s="32">
        <v>3.4599999999999999E-2</v>
      </c>
      <c r="R205" s="32">
        <v>3.4599999999999999E-2</v>
      </c>
      <c r="S205" s="32">
        <v>3.4599999999999999E-2</v>
      </c>
      <c r="T205" s="32">
        <v>3.4599999999999999E-2</v>
      </c>
      <c r="U205" s="32">
        <v>3.4599999999999999E-2</v>
      </c>
      <c r="V205" s="32">
        <v>3.4500000000000003E-2</v>
      </c>
      <c r="W205" s="32">
        <v>3.4500000000000003E-2</v>
      </c>
      <c r="X205" s="32">
        <v>3.4500000000000003E-2</v>
      </c>
      <c r="Y205" s="32">
        <v>3.4500000000000003E-2</v>
      </c>
      <c r="Z205" s="32">
        <v>3.4500000000000003E-2</v>
      </c>
    </row>
    <row r="206" spans="6:26">
      <c r="F206" s="95" t="s">
        <v>284</v>
      </c>
      <c r="G206" s="22"/>
      <c r="H206" s="22"/>
      <c r="I206" s="22"/>
      <c r="J206" s="22"/>
      <c r="K206" s="22"/>
      <c r="L206" s="22"/>
      <c r="M206" s="22"/>
      <c r="N206" s="22"/>
      <c r="O206" s="22"/>
      <c r="P206" s="22"/>
      <c r="Q206" s="32">
        <v>3.4500000000000003E-2</v>
      </c>
      <c r="R206" s="32">
        <v>3.4500000000000003E-2</v>
      </c>
      <c r="S206" s="32">
        <v>3.4500000000000003E-2</v>
      </c>
      <c r="T206" s="32">
        <v>3.4500000000000003E-2</v>
      </c>
      <c r="U206" s="32">
        <v>3.4500000000000003E-2</v>
      </c>
    </row>
    <row r="207" spans="6:26">
      <c r="Q207" s="19"/>
      <c r="V207" s="40"/>
      <c r="W207" s="40"/>
      <c r="X207" s="40"/>
      <c r="Y207" s="40"/>
      <c r="Z207" s="40"/>
    </row>
    <row r="208" spans="6:26">
      <c r="F208" s="94" t="s">
        <v>149</v>
      </c>
      <c r="G208" s="91" t="str">
        <f t="shared" ref="G208:P208" si="127">IFERROR(G96/G5,"-")</f>
        <v>-</v>
      </c>
      <c r="H208" s="91" t="str">
        <f t="shared" si="127"/>
        <v>-</v>
      </c>
      <c r="I208" s="91" t="str">
        <f t="shared" si="127"/>
        <v>-</v>
      </c>
      <c r="J208" s="91">
        <f t="shared" si="127"/>
        <v>2.9301297248341815E-3</v>
      </c>
      <c r="K208" s="91">
        <f t="shared" si="127"/>
        <v>7.9729077638036935E-3</v>
      </c>
      <c r="L208" s="91">
        <f t="shared" si="127"/>
        <v>6.5415083281341576E-3</v>
      </c>
      <c r="M208" s="91">
        <f t="shared" si="127"/>
        <v>6.0909475916827056E-3</v>
      </c>
      <c r="N208" s="91">
        <f t="shared" si="127"/>
        <v>1.4285001816795742E-3</v>
      </c>
      <c r="O208" s="91">
        <f t="shared" si="127"/>
        <v>3.8617036623302646E-3</v>
      </c>
      <c r="P208" s="91">
        <f t="shared" si="127"/>
        <v>3.5660856556378943E-3</v>
      </c>
      <c r="Q208" s="41"/>
      <c r="R208" s="40"/>
      <c r="S208" s="40"/>
      <c r="T208" s="40"/>
      <c r="U208" s="40"/>
      <c r="V208" s="28">
        <f>U209</f>
        <v>4.6273975583003531E-3</v>
      </c>
      <c r="W208" s="28">
        <f>V208</f>
        <v>4.6273975583003531E-3</v>
      </c>
      <c r="X208" s="28">
        <f>W208</f>
        <v>4.6273975583003531E-3</v>
      </c>
      <c r="Y208" s="28">
        <f>X208</f>
        <v>4.6273975583003531E-3</v>
      </c>
      <c r="Z208" s="28">
        <f>Y208</f>
        <v>4.6273975583003531E-3</v>
      </c>
    </row>
    <row r="209" spans="6:26">
      <c r="F209" s="95" t="s">
        <v>298</v>
      </c>
      <c r="G209" s="22"/>
      <c r="H209" s="22"/>
      <c r="I209" s="22"/>
      <c r="J209" s="22"/>
      <c r="K209" s="22"/>
      <c r="L209" s="22"/>
      <c r="M209" s="22"/>
      <c r="N209" s="22"/>
      <c r="O209" s="22"/>
      <c r="P209" s="22"/>
      <c r="Q209" s="32">
        <f>AVERAGE(J208:P208)</f>
        <v>4.6273975583003531E-3</v>
      </c>
      <c r="R209" s="28">
        <f>Q209</f>
        <v>4.6273975583003531E-3</v>
      </c>
      <c r="S209" s="28">
        <f>R209</f>
        <v>4.6273975583003531E-3</v>
      </c>
      <c r="T209" s="28">
        <f>S209</f>
        <v>4.6273975583003531E-3</v>
      </c>
      <c r="U209" s="28">
        <f>T209</f>
        <v>4.6273975583003531E-3</v>
      </c>
      <c r="V209" s="28">
        <f t="shared" ref="Q209:Y211" si="128">V208</f>
        <v>4.6273975583003531E-3</v>
      </c>
      <c r="W209" s="28">
        <f t="shared" si="128"/>
        <v>4.6273975583003531E-3</v>
      </c>
      <c r="X209" s="28">
        <f t="shared" si="128"/>
        <v>4.6273975583003531E-3</v>
      </c>
      <c r="Y209" s="28">
        <f t="shared" si="128"/>
        <v>4.6273975583003531E-3</v>
      </c>
      <c r="Z209" s="28">
        <f>Z208</f>
        <v>4.6273975583003531E-3</v>
      </c>
    </row>
    <row r="210" spans="6:26">
      <c r="F210" s="95" t="s">
        <v>283</v>
      </c>
      <c r="G210" s="22"/>
      <c r="H210" s="22"/>
      <c r="I210" s="22"/>
      <c r="J210" s="22"/>
      <c r="K210" s="22"/>
      <c r="L210" s="22"/>
      <c r="M210" s="22"/>
      <c r="N210" s="22"/>
      <c r="O210" s="22"/>
      <c r="P210" s="22"/>
      <c r="Q210" s="32">
        <f t="shared" si="128"/>
        <v>4.6273975583003531E-3</v>
      </c>
      <c r="R210" s="28">
        <f t="shared" si="128"/>
        <v>4.6273975583003531E-3</v>
      </c>
      <c r="S210" s="28">
        <f t="shared" si="128"/>
        <v>4.6273975583003531E-3</v>
      </c>
      <c r="T210" s="28">
        <f t="shared" si="128"/>
        <v>4.6273975583003531E-3</v>
      </c>
      <c r="U210" s="28">
        <f t="shared" si="128"/>
        <v>4.6273975583003531E-3</v>
      </c>
      <c r="V210" s="28">
        <f t="shared" si="128"/>
        <v>4.6273975583003531E-3</v>
      </c>
      <c r="W210" s="28">
        <f t="shared" si="128"/>
        <v>4.6273975583003531E-3</v>
      </c>
      <c r="X210" s="28">
        <f t="shared" si="128"/>
        <v>4.6273975583003531E-3</v>
      </c>
      <c r="Y210" s="28">
        <f t="shared" si="128"/>
        <v>4.6273975583003531E-3</v>
      </c>
      <c r="Z210" s="28">
        <f>Z209</f>
        <v>4.6273975583003531E-3</v>
      </c>
    </row>
    <row r="211" spans="6:26">
      <c r="F211" s="95" t="s">
        <v>284</v>
      </c>
      <c r="G211" s="22"/>
      <c r="H211" s="22"/>
      <c r="I211" s="22"/>
      <c r="J211" s="22"/>
      <c r="K211" s="22"/>
      <c r="L211" s="22"/>
      <c r="M211" s="22"/>
      <c r="N211" s="22"/>
      <c r="O211" s="22"/>
      <c r="P211" s="22"/>
      <c r="Q211" s="32">
        <f t="shared" si="128"/>
        <v>4.6273975583003531E-3</v>
      </c>
      <c r="R211" s="28">
        <f t="shared" si="128"/>
        <v>4.6273975583003531E-3</v>
      </c>
      <c r="S211" s="28">
        <f t="shared" si="128"/>
        <v>4.6273975583003531E-3</v>
      </c>
      <c r="T211" s="28">
        <f t="shared" si="128"/>
        <v>4.6273975583003531E-3</v>
      </c>
      <c r="U211" s="28">
        <f t="shared" si="128"/>
        <v>4.6273975583003531E-3</v>
      </c>
    </row>
    <row r="212" spans="6:26" ht="16" customHeight="1"/>
  </sheetData>
  <scenarios current="1" show="1" sqref="D62 D69">
    <scenario name="Upside" locked="1" count="1" user="Franco Gianotti" comment="Created by Franco Gianotti on 9/14/2025_x000a_Modified by Franco Gianotti on 9/14/2025">
      <inputCells r="D6" val="Upside"/>
    </scenario>
    <scenario name="Base" locked="1" count="1" user="Franco Gianotti" comment="Created by Franco Gianotti on 9/14/2025">
      <inputCells r="D6" val="Base"/>
    </scenario>
    <scenario name="Downside" locked="1" count="1" user="Franco Gianotti" comment="Created by Franco Gianotti on 9/14/2025">
      <inputCells r="D6" val="Downside"/>
    </scenario>
  </scenarios>
  <mergeCells count="1">
    <mergeCell ref="A1:XFD1"/>
  </mergeCells>
  <conditionalFormatting sqref="D70">
    <cfRule type="cellIs" dxfId="10" priority="16" operator="equal">
      <formula>"Undervalued"</formula>
    </cfRule>
    <cfRule type="cellIs" dxfId="9" priority="17" operator="equal">
      <formula>"Overvalued"</formula>
    </cfRule>
  </conditionalFormatting>
  <conditionalFormatting sqref="Q4:Q7 R6:Z6 R9:Z9 Q9:Q20 R12:Z13 R15:Z16 Q22:Q24 Q28:Q58 V35:Z35 R36:U36 V51:Z52 R52:U53 V56:Z58 R57:U58 Q59:U59 Q60:Q65 V64:Z64 R65:U65 Q67:Q102 V69:Z70 R70:U71 V76:Z77 R77:U78 V80:Z80 R81:U81 V82:Z83 R83:U84 V85:Z86 R86:U87 V89:Z90 R90:U91 V92:Z93 R93:U94 V95:Z96 R96:U97 V103:Z105 R104:U106 Q104:Q107 V109:Z110 Q109:Q112 R110:U111 V113:Z114 R114:U115 Q114:Q117 V119:Z120 Q119:Q128 R120:U121 Q130 V132:Z133 Q132:Q135 R133:U134 V137:Z138 Q137:Q141 R138:U139 D138 V142:Z144 R143:U145 Q143:Q146 Q148:Q150 Q153:Q164 V156:Z160 R157:U161 V166:Z167 Q166:Q169 R167:U168 Q171 Q175:Q176 Q178:Q181 V182:Z185 Q183:U186 V188:Z188 Q188:Q189 R189:Z189 Q190:U190 Q191:Q194 V193:Z193 R194:Z194 Q195:U195 Q197 Q199:Q200 V199:Z200 R200:U201 Q201:U201 Q204 V204:Z205 Q205:U206 Q207 Q209">
    <cfRule type="expression" dxfId="8" priority="6" stopIfTrue="1">
      <formula>$D$4&lt;1</formula>
    </cfRule>
  </conditionalFormatting>
  <conditionalFormatting sqref="Q147">
    <cfRule type="expression" dxfId="7" priority="5">
      <formula>$D$4&lt;2</formula>
    </cfRule>
  </conditionalFormatting>
  <conditionalFormatting sqref="R4:R5 R7 R10:R11 R14 R17:R20 R22:R24 R28:R35 R37:R51 R54:R56 R60:R64 R67:R69 R72:R76 V79:Z79 R79:R80 S80:U80 R82 R85 R88:R89 R92 R95 R98:R102 R107 V108:Z108 R109:U109 R112 V115:Z116 R116:U117 R119 R122:R128 R132 R135 R137 R140:R141 R146:R156 R162:R164 R166 R169 R171 R175:R176 V177:Z179 S178:U180 R178:R181 R188 R191:R193 R197 V198:Z198 R199:U199 R204 R207 R209 R224">
    <cfRule type="expression" dxfId="6" priority="7">
      <formula>$D$4&lt;2</formula>
    </cfRule>
  </conditionalFormatting>
  <conditionalFormatting sqref="R130">
    <cfRule type="expression" dxfId="5" priority="1">
      <formula>$D$4&lt;2</formula>
    </cfRule>
  </conditionalFormatting>
  <conditionalFormatting sqref="S4:S5 S7 S10:S11 S14 S17:S20 S22:S24 S28:S35 S37:S51 S54:S56 S60:S64 S67:S69 S72:S76 S79 S82 S85 S88:S89 S92 S95 S98:S102 S107 S112 S119 S122:S128 S132 S135 S137 S140:S141 S146:S156 S162:S164 S166 S169 S171 S175:S176 S181 S188 S191:S193 S197 S204 S207 S209 S224">
    <cfRule type="expression" dxfId="4" priority="8">
      <formula>$D$4&lt;3</formula>
    </cfRule>
  </conditionalFormatting>
  <conditionalFormatting sqref="S130">
    <cfRule type="expression" dxfId="3" priority="2">
      <formula>$D$4&lt;3</formula>
    </cfRule>
  </conditionalFormatting>
  <conditionalFormatting sqref="T4:T5 T7 T10:T11 T14 T17:T20 T22:T24 T28:T35 T37:T51 T54:T56 T60:T64 T67:T69 T72:T76 T79 T82 T85 T88:T89 T92 T95 T98:T102 T107 T112 T119 T122:T128 T132 T135 T137 T140:T141 T146:T156 T162:T164 T166 T169 T171 T175:T176 T181 T188 T191:T193 T197 T204 T207 T209 T224">
    <cfRule type="expression" dxfId="2" priority="9">
      <formula>$D$4&lt;4</formula>
    </cfRule>
  </conditionalFormatting>
  <conditionalFormatting sqref="T130">
    <cfRule type="expression" dxfId="1" priority="3">
      <formula>$D$4&lt;4</formula>
    </cfRule>
  </conditionalFormatting>
  <conditionalFormatting sqref="U4:Z5 U7:Z8 Q8:T8 U10:Z11 U14:Z14 U17:Z20 U22:Z24 V27:Z34 U28:U35 V36:Z50 U37:U51 V53:Z55 U54:U56 V59:Z63 U60:U64 V66:Z68 U67:U69 V71:Z75 U72:U76 V78:Z78 U79 V81:Z81 U82 V84:Z84 U85 V87:Z88 U88:U89 V91:Z91 U92 V94:Z94 U95 V97:Z101 U98:U102 V106:Z106 U107 V111:Z111 U112 V118:Z118 U119 V121:Z127 U122:U128 V129:Z129 U130 V131:Z131 U132 V134:Z134 U135 V136:Z136 U137 V139:Z140 U140:U141 V145:Z155 U146:U156 V161:Z163 U162:U164 V165:Z165 U166 V168:Z168 U169 V170:Z170 U171 V174:Z175 U175:U176 V180:Z180 U181 V187:Z187 U188 V190:Z192 U191:U193 V196:Z196 U197 V203:Z203 U204 V206:Z206 U207 V208:Z210 U209 Q210:U211 U224">
    <cfRule type="expression" dxfId="0" priority="10">
      <formula>$D$4&lt;5</formula>
    </cfRule>
  </conditionalFormatting>
  <dataValidations count="2">
    <dataValidation type="list" allowBlank="1" showInputMessage="1" showErrorMessage="1" sqref="D5 D7" xr:uid="{3DD5259F-5508-7644-8C7F-E5FF0002E44E}">
      <formula1>$AU$27:$AU$28</formula1>
    </dataValidation>
    <dataValidation type="list" allowBlank="1" showInputMessage="1" showErrorMessage="1" sqref="D6" xr:uid="{D101DA62-9E9A-9742-98F9-765FA33530D2}">
      <formula1>$AQ$77:$AQ$79</formula1>
    </dataValidation>
  </dataValidations>
  <pageMargins left="0.7" right="0.7" top="0.75" bottom="0.75" header="0.3" footer="0.3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14F025-8F6E-DF41-99BF-6106BFAC30BC}">
  <sheetPr codeName="Sheet3"/>
  <dimension ref="A1:BJ69"/>
  <sheetViews>
    <sheetView showGridLines="0" workbookViewId="0">
      <pane ySplit="1" topLeftCell="A2" activePane="bottomLeft" state="frozen"/>
      <selection pane="bottomLeft" activeCell="I17" sqref="I17"/>
    </sheetView>
  </sheetViews>
  <sheetFormatPr baseColWidth="10" defaultRowHeight="16"/>
  <cols>
    <col min="1" max="1" width="4.33203125" customWidth="1"/>
    <col min="3" max="3" width="16.83203125" customWidth="1"/>
    <col min="4" max="5" width="11.5" bestFit="1" customWidth="1"/>
    <col min="7" max="7" width="19.5" customWidth="1"/>
    <col min="9" max="9" width="22.5" bestFit="1" customWidth="1"/>
    <col min="62" max="62" width="10.83203125" hidden="1" customWidth="1"/>
  </cols>
  <sheetData>
    <row r="1" spans="1:62" s="123" customFormat="1" ht="32" customHeight="1">
      <c r="A1" s="123" t="s">
        <v>184</v>
      </c>
    </row>
    <row r="2" spans="1:62">
      <c r="BJ2" t="s">
        <v>189</v>
      </c>
    </row>
    <row r="3" spans="1:62">
      <c r="B3" s="30" t="s">
        <v>185</v>
      </c>
      <c r="C3" s="11"/>
      <c r="D3" s="30"/>
      <c r="E3" s="30"/>
      <c r="G3" s="11" t="s">
        <v>193</v>
      </c>
      <c r="H3" s="11"/>
      <c r="I3" s="11"/>
      <c r="K3" s="59" t="s">
        <v>195</v>
      </c>
      <c r="L3" s="60"/>
      <c r="M3" s="60"/>
      <c r="N3" s="60"/>
      <c r="O3" s="61"/>
      <c r="BJ3" t="s">
        <v>187</v>
      </c>
    </row>
    <row r="4" spans="1:62">
      <c r="B4" s="126" t="s">
        <v>186</v>
      </c>
      <c r="C4" s="126"/>
      <c r="D4" s="126"/>
      <c r="E4" t="s">
        <v>189</v>
      </c>
      <c r="G4" t="s">
        <v>194</v>
      </c>
      <c r="I4" s="28">
        <v>4.48E-2</v>
      </c>
      <c r="K4" s="127" t="s">
        <v>197</v>
      </c>
      <c r="L4" s="128"/>
      <c r="M4" s="40" t="s">
        <v>198</v>
      </c>
      <c r="N4" s="40" t="s">
        <v>196</v>
      </c>
      <c r="O4" s="62" t="s">
        <v>199</v>
      </c>
      <c r="BJ4" t="s">
        <v>188</v>
      </c>
    </row>
    <row r="5" spans="1:62">
      <c r="B5" s="124" t="s">
        <v>190</v>
      </c>
      <c r="C5" s="124"/>
      <c r="D5" s="125"/>
      <c r="E5" s="28">
        <v>4.6199999999999998E-2</v>
      </c>
      <c r="G5" t="s">
        <v>196</v>
      </c>
      <c r="I5" s="22">
        <f>O10</f>
        <v>8.8999999999999999E-3</v>
      </c>
      <c r="K5" s="129" t="s">
        <v>200</v>
      </c>
      <c r="L5" s="124"/>
      <c r="M5" s="22">
        <v>1</v>
      </c>
      <c r="N5" s="22">
        <v>8.8999999999999999E-3</v>
      </c>
      <c r="O5" s="63">
        <f>M5*N5</f>
        <v>8.8999999999999999E-3</v>
      </c>
    </row>
    <row r="6" spans="1:62" ht="17" thickBot="1">
      <c r="B6" s="126" t="s">
        <v>191</v>
      </c>
      <c r="C6" s="126"/>
      <c r="D6" s="126"/>
      <c r="E6" s="28">
        <v>5.8999999999999999E-3</v>
      </c>
      <c r="G6" s="55" t="s">
        <v>193</v>
      </c>
      <c r="H6" s="55"/>
      <c r="I6" s="58">
        <f>SUM(I4:I5)</f>
        <v>5.3699999999999998E-2</v>
      </c>
      <c r="K6" s="130"/>
      <c r="L6" s="131"/>
      <c r="M6" s="22"/>
      <c r="N6" s="22"/>
      <c r="O6" s="63"/>
    </row>
    <row r="7" spans="1:62" ht="18" thickTop="1" thickBot="1">
      <c r="B7" s="55" t="s">
        <v>192</v>
      </c>
      <c r="C7" s="55"/>
      <c r="D7" s="55"/>
      <c r="E7" s="58">
        <f>IF(E4="Risk Free",E5,IF(E4="Nominal",E5-E6,E5))</f>
        <v>4.0299999999999996E-2</v>
      </c>
      <c r="K7" s="130"/>
      <c r="L7" s="131"/>
      <c r="M7" s="22"/>
      <c r="N7" s="22"/>
      <c r="O7" s="63"/>
    </row>
    <row r="8" spans="1:62" ht="17" thickTop="1">
      <c r="K8" s="130"/>
      <c r="L8" s="131"/>
      <c r="M8" s="22"/>
      <c r="N8" s="22"/>
      <c r="O8" s="63"/>
    </row>
    <row r="9" spans="1:62">
      <c r="K9" s="130"/>
      <c r="L9" s="131"/>
      <c r="M9" s="22"/>
      <c r="N9" s="22"/>
      <c r="O9" s="63"/>
    </row>
    <row r="10" spans="1:62" ht="17" thickBot="1">
      <c r="B10" s="135" t="s">
        <v>201</v>
      </c>
      <c r="C10" s="135"/>
      <c r="D10" s="135"/>
      <c r="E10" s="135"/>
      <c r="G10" s="30" t="s">
        <v>258</v>
      </c>
      <c r="H10" s="30"/>
      <c r="I10" s="30"/>
      <c r="K10" s="133" t="s">
        <v>199</v>
      </c>
      <c r="L10" s="134"/>
      <c r="M10" s="55"/>
      <c r="N10" s="55"/>
      <c r="O10" s="64">
        <f>SUM(O5:O9)</f>
        <v>8.8999999999999999E-3</v>
      </c>
    </row>
    <row r="11" spans="1:62" ht="17" thickTop="1">
      <c r="B11" t="s">
        <v>192</v>
      </c>
      <c r="E11" s="22">
        <f>E7</f>
        <v>4.0299999999999996E-2</v>
      </c>
      <c r="G11" t="s">
        <v>259</v>
      </c>
      <c r="I11" s="9">
        <f>'Statements Input'!C9*'Statements Input'!N54</f>
        <v>141750.29999999999</v>
      </c>
    </row>
    <row r="12" spans="1:62">
      <c r="B12" t="s">
        <v>202</v>
      </c>
      <c r="E12" s="5">
        <f>'Beta Calculation'!H5</f>
        <v>0.8901622707717457</v>
      </c>
      <c r="G12" t="s">
        <v>161</v>
      </c>
      <c r="I12" s="9">
        <f>E21</f>
        <v>80503.350063639198</v>
      </c>
    </row>
    <row r="13" spans="1:62">
      <c r="B13" t="s">
        <v>193</v>
      </c>
      <c r="E13" s="22">
        <f>I6</f>
        <v>5.3699999999999998E-2</v>
      </c>
      <c r="G13" t="s">
        <v>205</v>
      </c>
      <c r="I13" s="22">
        <f>I12/(I11+I12)</f>
        <v>0.36221384908903947</v>
      </c>
    </row>
    <row r="14" spans="1:62" ht="17" thickBot="1">
      <c r="B14" s="55" t="s">
        <v>199</v>
      </c>
      <c r="C14" s="55"/>
      <c r="D14" s="55"/>
      <c r="E14" s="58">
        <f>E11+(E12*E13)</f>
        <v>8.8101713940442736E-2</v>
      </c>
      <c r="G14" t="s">
        <v>260</v>
      </c>
      <c r="I14" s="22">
        <f>1-I13</f>
        <v>0.63778615091096058</v>
      </c>
    </row>
    <row r="15" spans="1:62" ht="17" thickTop="1">
      <c r="G15" t="s">
        <v>254</v>
      </c>
      <c r="I15" s="22">
        <f>E18</f>
        <v>4.1024999999999999E-2</v>
      </c>
    </row>
    <row r="16" spans="1:62">
      <c r="G16" t="s">
        <v>261</v>
      </c>
      <c r="I16" s="22">
        <f>E14</f>
        <v>8.8101713940442736E-2</v>
      </c>
    </row>
    <row r="17" spans="2:10" ht="17" thickBot="1">
      <c r="B17" s="30" t="s">
        <v>254</v>
      </c>
      <c r="C17" s="30"/>
      <c r="D17" s="30"/>
      <c r="E17" s="30"/>
      <c r="G17" s="55" t="s">
        <v>258</v>
      </c>
      <c r="H17" s="55"/>
      <c r="I17" s="58">
        <f>I15*I13+I16*I14</f>
        <v>7.1049876181611335E-2</v>
      </c>
    </row>
    <row r="18" spans="2:10" ht="17" thickTop="1">
      <c r="B18" t="s">
        <v>255</v>
      </c>
      <c r="E18" s="28">
        <f>H28</f>
        <v>4.1024999999999999E-2</v>
      </c>
    </row>
    <row r="19" spans="2:10">
      <c r="B19" t="s">
        <v>257</v>
      </c>
      <c r="E19" s="5">
        <v>1</v>
      </c>
    </row>
    <row r="20" spans="2:10">
      <c r="B20" t="s">
        <v>256</v>
      </c>
      <c r="E20" s="9">
        <f>'Statements Input'!N122+'Statements Input'!N120+'Statements Input'!N121+'Statements Input'!N127+'Statements Input'!N128</f>
        <v>79946</v>
      </c>
    </row>
    <row r="21" spans="2:10">
      <c r="B21" t="s">
        <v>161</v>
      </c>
      <c r="E21" s="9">
        <f>(D25*((1-(1/((1+E18)^E19)))/E18))+(E20/((1+E18)^E19))</f>
        <v>80503.350063639198</v>
      </c>
    </row>
    <row r="23" spans="2:10" ht="19" customHeight="1" thickBot="1">
      <c r="B23" s="132" t="s">
        <v>222</v>
      </c>
      <c r="C23" s="132"/>
      <c r="D23" s="132"/>
      <c r="E23" s="132"/>
      <c r="F23" s="132"/>
      <c r="G23" s="132"/>
      <c r="H23" s="132"/>
      <c r="I23" s="132"/>
      <c r="J23" s="132"/>
    </row>
    <row r="24" spans="2:10" ht="23" customHeight="1" thickTop="1">
      <c r="B24" s="118" t="s">
        <v>7</v>
      </c>
      <c r="C24" s="118"/>
      <c r="D24" s="9">
        <f>'Statements Input'!N26</f>
        <v>24656.940000000002</v>
      </c>
      <c r="F24" t="s">
        <v>223</v>
      </c>
      <c r="H24">
        <f>IF(D25&gt;0,D24/D25,100000)</f>
        <v>6.3878082901554407</v>
      </c>
    </row>
    <row r="25" spans="2:10" ht="23" customHeight="1">
      <c r="B25" s="118" t="s">
        <v>10</v>
      </c>
      <c r="C25" s="118"/>
      <c r="D25" s="9">
        <f>-'Statements Input'!N31</f>
        <v>3860</v>
      </c>
      <c r="F25" t="s">
        <v>224</v>
      </c>
      <c r="H25" t="str">
        <f>IF(C27="Large firm (&gt; 5bn)",VLOOKUP(H24,$B32:$E46,3),(IF(C27="Financial service firm",VLOOKUP(H24,$G32:$J46,3),VLOOKUP(H24,$B51:$E65,3))))</f>
        <v>A2/A</v>
      </c>
    </row>
    <row r="26" spans="2:10" ht="23" customHeight="1">
      <c r="B26" s="118" t="s">
        <v>228</v>
      </c>
      <c r="C26" s="118"/>
      <c r="D26" s="22">
        <f>E5</f>
        <v>4.6199999999999998E-2</v>
      </c>
      <c r="F26" t="s">
        <v>227</v>
      </c>
      <c r="H26" s="22">
        <f>IF(C27="Large firm (&gt; 5bn)",VLOOKUP(H24,$B32:$E46,4),(IF(C27="Financial service firm",VLOOKUP(H24,$G32:$J46,4),VLOOKUP(H24,$B51:$E65,4))))</f>
        <v>8.5000000000000006E-3</v>
      </c>
    </row>
    <row r="27" spans="2:10" ht="16" customHeight="1">
      <c r="B27" t="s">
        <v>225</v>
      </c>
      <c r="C27" s="119" t="s">
        <v>226</v>
      </c>
      <c r="D27" s="119"/>
      <c r="F27" t="s">
        <v>229</v>
      </c>
      <c r="H27" s="22">
        <f>H26+D26</f>
        <v>5.4699999999999999E-2</v>
      </c>
    </row>
    <row r="28" spans="2:10">
      <c r="F28" t="s">
        <v>230</v>
      </c>
      <c r="H28" s="22">
        <f>H27*(1-'Statements Input'!C8)</f>
        <v>4.1024999999999999E-2</v>
      </c>
    </row>
    <row r="29" spans="2:10">
      <c r="B29" s="74"/>
      <c r="C29" s="74"/>
      <c r="D29" s="74"/>
      <c r="E29" s="74"/>
      <c r="F29" s="74"/>
      <c r="G29" s="74"/>
      <c r="H29" s="74"/>
      <c r="I29" s="74"/>
      <c r="J29" s="74"/>
    </row>
    <row r="30" spans="2:10" ht="17" thickBot="1">
      <c r="B30" s="75" t="s">
        <v>231</v>
      </c>
      <c r="C30" s="75"/>
      <c r="D30" s="75"/>
      <c r="E30" s="75"/>
      <c r="F30" s="74"/>
      <c r="G30" s="76" t="s">
        <v>232</v>
      </c>
      <c r="H30" s="76"/>
      <c r="I30" s="76"/>
      <c r="J30" s="76"/>
    </row>
    <row r="31" spans="2:10" ht="17" thickTop="1">
      <c r="B31" t="s">
        <v>233</v>
      </c>
      <c r="C31" t="s">
        <v>234</v>
      </c>
      <c r="D31" t="s">
        <v>235</v>
      </c>
      <c r="E31" t="s">
        <v>236</v>
      </c>
      <c r="F31" s="74"/>
      <c r="G31" t="s">
        <v>233</v>
      </c>
      <c r="H31" t="s">
        <v>234</v>
      </c>
      <c r="I31" t="s">
        <v>235</v>
      </c>
      <c r="J31" t="s">
        <v>236</v>
      </c>
    </row>
    <row r="32" spans="2:10">
      <c r="B32">
        <v>-100000</v>
      </c>
      <c r="C32">
        <v>0.19999900000000001</v>
      </c>
      <c r="D32" t="s">
        <v>237</v>
      </c>
      <c r="E32">
        <v>0.19</v>
      </c>
      <c r="F32" s="74"/>
      <c r="G32">
        <v>-100000</v>
      </c>
      <c r="H32">
        <v>4.9999000000000002E-2</v>
      </c>
      <c r="I32" t="s">
        <v>237</v>
      </c>
      <c r="J32">
        <v>0.19</v>
      </c>
    </row>
    <row r="33" spans="2:10">
      <c r="B33">
        <v>0.2</v>
      </c>
      <c r="C33">
        <v>0.64999899999999999</v>
      </c>
      <c r="D33" t="s">
        <v>238</v>
      </c>
      <c r="E33">
        <v>0.155</v>
      </c>
      <c r="F33" s="74"/>
      <c r="G33">
        <v>0.05</v>
      </c>
      <c r="H33">
        <v>9.9999000000000005E-2</v>
      </c>
      <c r="I33" t="s">
        <v>238</v>
      </c>
      <c r="J33">
        <v>0.155</v>
      </c>
    </row>
    <row r="34" spans="2:10">
      <c r="B34">
        <v>0.65</v>
      </c>
      <c r="C34">
        <v>0.79999900000000002</v>
      </c>
      <c r="D34" t="s">
        <v>239</v>
      </c>
      <c r="E34">
        <v>0.10100000000000001</v>
      </c>
      <c r="F34" s="74"/>
      <c r="G34">
        <v>0.1</v>
      </c>
      <c r="H34">
        <v>0.19999900000000001</v>
      </c>
      <c r="I34" t="s">
        <v>239</v>
      </c>
      <c r="J34">
        <v>0.10100000000000001</v>
      </c>
    </row>
    <row r="35" spans="2:10">
      <c r="B35">
        <v>0.8</v>
      </c>
      <c r="C35">
        <v>1.2499990000000001</v>
      </c>
      <c r="D35" t="s">
        <v>240</v>
      </c>
      <c r="E35">
        <v>7.2800000000000004E-2</v>
      </c>
      <c r="F35" s="74"/>
      <c r="G35">
        <v>0.2</v>
      </c>
      <c r="H35">
        <v>0.29999900000000002</v>
      </c>
      <c r="I35" t="s">
        <v>240</v>
      </c>
      <c r="J35">
        <v>7.2800000000000004E-2</v>
      </c>
    </row>
    <row r="36" spans="2:10">
      <c r="B36">
        <v>1.25</v>
      </c>
      <c r="C36">
        <v>1.4999990000000001</v>
      </c>
      <c r="D36" t="s">
        <v>241</v>
      </c>
      <c r="E36">
        <v>4.4200000000000003E-2</v>
      </c>
      <c r="F36" s="74"/>
      <c r="G36">
        <v>0.3</v>
      </c>
      <c r="H36">
        <v>0.39999899999999999</v>
      </c>
      <c r="I36" t="s">
        <v>241</v>
      </c>
      <c r="J36">
        <v>4.4200000000000003E-2</v>
      </c>
    </row>
    <row r="37" spans="2:10">
      <c r="B37">
        <v>1.5</v>
      </c>
      <c r="C37">
        <v>1.7499990000000001</v>
      </c>
      <c r="D37" t="s">
        <v>242</v>
      </c>
      <c r="E37">
        <v>0.03</v>
      </c>
      <c r="F37" s="74"/>
      <c r="G37">
        <v>0.4</v>
      </c>
      <c r="H37">
        <v>0.49999900000000003</v>
      </c>
      <c r="I37" t="s">
        <v>242</v>
      </c>
      <c r="J37">
        <v>0.03</v>
      </c>
    </row>
    <row r="38" spans="2:10">
      <c r="B38">
        <v>1.75</v>
      </c>
      <c r="C38">
        <v>1.9999990000000001</v>
      </c>
      <c r="D38" t="s">
        <v>243</v>
      </c>
      <c r="E38">
        <v>2.6100000000000002E-2</v>
      </c>
      <c r="F38" s="74"/>
      <c r="G38">
        <v>0.5</v>
      </c>
      <c r="H38">
        <v>0.59999899999999995</v>
      </c>
      <c r="I38" t="s">
        <v>243</v>
      </c>
      <c r="J38">
        <v>2.6100000000000002E-2</v>
      </c>
    </row>
    <row r="39" spans="2:10">
      <c r="B39">
        <v>2</v>
      </c>
      <c r="C39">
        <v>2.2499999000000002</v>
      </c>
      <c r="D39" t="s">
        <v>244</v>
      </c>
      <c r="E39">
        <v>1.83E-2</v>
      </c>
      <c r="F39" s="74"/>
      <c r="G39">
        <v>0.6</v>
      </c>
      <c r="H39">
        <v>0.74999899999999997</v>
      </c>
      <c r="I39" t="s">
        <v>244</v>
      </c>
      <c r="J39">
        <v>1.83E-2</v>
      </c>
    </row>
    <row r="40" spans="2:10">
      <c r="B40">
        <v>2.25</v>
      </c>
      <c r="C40">
        <v>2.4999899999999999</v>
      </c>
      <c r="D40" t="s">
        <v>245</v>
      </c>
      <c r="E40">
        <v>1.55E-2</v>
      </c>
      <c r="F40" s="74"/>
      <c r="G40">
        <v>0.75</v>
      </c>
      <c r="H40">
        <v>0.89999899999999999</v>
      </c>
      <c r="I40" t="s">
        <v>245</v>
      </c>
      <c r="J40">
        <v>1.55E-2</v>
      </c>
    </row>
    <row r="41" spans="2:10">
      <c r="B41">
        <v>2.5</v>
      </c>
      <c r="C41">
        <v>2.9999989999999999</v>
      </c>
      <c r="D41" t="s">
        <v>246</v>
      </c>
      <c r="E41">
        <v>1.2E-2</v>
      </c>
      <c r="F41" s="74"/>
      <c r="G41">
        <v>0.9</v>
      </c>
      <c r="H41">
        <v>1.199999</v>
      </c>
      <c r="I41" t="s">
        <v>246</v>
      </c>
      <c r="J41">
        <v>1.2E-2</v>
      </c>
    </row>
    <row r="42" spans="2:10">
      <c r="B42">
        <v>3</v>
      </c>
      <c r="C42">
        <v>4.2499989999999999</v>
      </c>
      <c r="D42" t="s">
        <v>247</v>
      </c>
      <c r="E42">
        <v>9.4999999999999998E-3</v>
      </c>
      <c r="F42" s="74"/>
      <c r="G42">
        <v>1.2</v>
      </c>
      <c r="H42">
        <v>1.4999899999999999</v>
      </c>
      <c r="I42" t="s">
        <v>247</v>
      </c>
      <c r="J42">
        <v>9.4999999999999998E-3</v>
      </c>
    </row>
    <row r="43" spans="2:10">
      <c r="B43">
        <v>4.25</v>
      </c>
      <c r="C43">
        <v>5.4999989999999999</v>
      </c>
      <c r="D43" t="s">
        <v>248</v>
      </c>
      <c r="E43">
        <v>8.5000000000000006E-3</v>
      </c>
      <c r="F43" s="74"/>
      <c r="G43">
        <v>1.5</v>
      </c>
      <c r="H43">
        <v>1.9999899999999999</v>
      </c>
      <c r="I43" t="s">
        <v>248</v>
      </c>
      <c r="J43">
        <v>8.5000000000000006E-3</v>
      </c>
    </row>
    <row r="44" spans="2:10">
      <c r="B44">
        <v>5.5</v>
      </c>
      <c r="C44">
        <v>6.4999989999999999</v>
      </c>
      <c r="D44" t="s">
        <v>249</v>
      </c>
      <c r="E44">
        <v>7.7000000000000002E-3</v>
      </c>
      <c r="F44" s="74"/>
      <c r="G44">
        <v>2</v>
      </c>
      <c r="H44">
        <v>2.4999899999999999</v>
      </c>
      <c r="I44" t="s">
        <v>249</v>
      </c>
      <c r="J44">
        <v>7.7000000000000002E-3</v>
      </c>
    </row>
    <row r="45" spans="2:10">
      <c r="B45">
        <v>6.5</v>
      </c>
      <c r="C45">
        <v>8.4999990000000007</v>
      </c>
      <c r="D45" t="s">
        <v>250</v>
      </c>
      <c r="E45">
        <v>6.0000000000000001E-3</v>
      </c>
      <c r="F45" s="74"/>
      <c r="G45">
        <v>2.5</v>
      </c>
      <c r="H45">
        <v>2.9999899999999999</v>
      </c>
      <c r="I45" t="s">
        <v>250</v>
      </c>
      <c r="J45">
        <v>6.0000000000000001E-3</v>
      </c>
    </row>
    <row r="46" spans="2:10">
      <c r="B46">
        <v>8.5</v>
      </c>
      <c r="C46">
        <v>100000</v>
      </c>
      <c r="D46" t="s">
        <v>251</v>
      </c>
      <c r="E46">
        <v>4.4999999999999997E-3</v>
      </c>
      <c r="F46" s="74"/>
      <c r="G46">
        <v>3</v>
      </c>
      <c r="H46">
        <v>100000</v>
      </c>
      <c r="I46" t="s">
        <v>251</v>
      </c>
      <c r="J46">
        <v>4.4999999999999997E-3</v>
      </c>
    </row>
    <row r="47" spans="2:10">
      <c r="B47" s="74"/>
      <c r="C47" s="74"/>
      <c r="D47" s="74"/>
      <c r="E47" s="74"/>
      <c r="F47" s="74"/>
      <c r="G47" s="74"/>
      <c r="H47" s="74"/>
      <c r="I47" s="74"/>
      <c r="J47" s="74"/>
    </row>
    <row r="48" spans="2:10">
      <c r="B48" s="74"/>
      <c r="C48" s="74"/>
      <c r="D48" s="74"/>
      <c r="E48" s="74"/>
      <c r="F48" s="74"/>
      <c r="G48" s="74"/>
      <c r="H48" s="74"/>
      <c r="I48" s="74"/>
      <c r="J48" s="74"/>
    </row>
    <row r="49" spans="2:10" ht="17" thickBot="1">
      <c r="B49" s="77" t="s">
        <v>252</v>
      </c>
      <c r="C49" s="77"/>
      <c r="D49" s="77"/>
      <c r="E49" s="77"/>
      <c r="F49" s="74"/>
      <c r="G49" s="74"/>
      <c r="H49" s="74"/>
      <c r="I49" s="74"/>
      <c r="J49" s="74"/>
    </row>
    <row r="50" spans="2:10">
      <c r="B50" t="s">
        <v>233</v>
      </c>
      <c r="C50" t="s">
        <v>234</v>
      </c>
      <c r="D50" t="s">
        <v>235</v>
      </c>
      <c r="E50" t="s">
        <v>236</v>
      </c>
      <c r="F50" s="74"/>
      <c r="G50" s="74"/>
      <c r="H50" s="74"/>
      <c r="I50" s="74"/>
      <c r="J50" s="74"/>
    </row>
    <row r="51" spans="2:10">
      <c r="B51">
        <v>-100000</v>
      </c>
      <c r="C51">
        <v>0.49999900000000003</v>
      </c>
      <c r="D51" t="s">
        <v>237</v>
      </c>
      <c r="E51">
        <v>0.19</v>
      </c>
      <c r="F51" s="74"/>
      <c r="G51" s="74"/>
      <c r="H51" s="74"/>
      <c r="I51" s="74"/>
      <c r="J51" s="74"/>
    </row>
    <row r="52" spans="2:10">
      <c r="B52">
        <v>0.5</v>
      </c>
      <c r="C52">
        <v>0.79999900000000002</v>
      </c>
      <c r="D52" t="s">
        <v>238</v>
      </c>
      <c r="E52">
        <v>0.155</v>
      </c>
      <c r="F52" s="74"/>
      <c r="G52" s="74"/>
      <c r="H52" s="74"/>
      <c r="I52" s="74"/>
      <c r="J52" s="74"/>
    </row>
    <row r="53" spans="2:10">
      <c r="B53">
        <v>0.8</v>
      </c>
      <c r="C53">
        <v>1.2499990000000001</v>
      </c>
      <c r="D53" t="s">
        <v>239</v>
      </c>
      <c r="E53">
        <v>0.10100000000000001</v>
      </c>
      <c r="F53" s="74"/>
      <c r="G53" s="74"/>
      <c r="H53" s="74"/>
      <c r="I53" s="74"/>
      <c r="J53" s="74"/>
    </row>
    <row r="54" spans="2:10">
      <c r="B54">
        <v>1.25</v>
      </c>
      <c r="C54">
        <v>1.4999990000000001</v>
      </c>
      <c r="D54" t="s">
        <v>240</v>
      </c>
      <c r="E54">
        <v>7.2800000000000004E-2</v>
      </c>
      <c r="F54" s="74"/>
      <c r="G54" s="74"/>
      <c r="H54" s="74"/>
      <c r="I54" s="74"/>
      <c r="J54" s="74"/>
    </row>
    <row r="55" spans="2:10">
      <c r="B55">
        <v>1.5</v>
      </c>
      <c r="C55">
        <v>1.9999990000000001</v>
      </c>
      <c r="D55" t="s">
        <v>241</v>
      </c>
      <c r="E55">
        <v>4.4200000000000003E-2</v>
      </c>
      <c r="F55" s="74"/>
      <c r="G55" s="74"/>
      <c r="H55" s="74"/>
      <c r="I55" s="74"/>
      <c r="J55" s="74"/>
    </row>
    <row r="56" spans="2:10">
      <c r="B56">
        <v>2</v>
      </c>
      <c r="C56">
        <v>2.4999989999999999</v>
      </c>
      <c r="D56" t="s">
        <v>242</v>
      </c>
      <c r="E56">
        <v>0.03</v>
      </c>
      <c r="F56" s="74"/>
      <c r="G56" s="74"/>
      <c r="H56" s="74"/>
      <c r="I56" s="74"/>
      <c r="J56" s="74"/>
    </row>
    <row r="57" spans="2:10">
      <c r="B57">
        <v>2.5</v>
      </c>
      <c r="C57">
        <v>2.9999989999999999</v>
      </c>
      <c r="D57" t="s">
        <v>243</v>
      </c>
      <c r="E57">
        <v>2.6100000000000002E-2</v>
      </c>
      <c r="F57" s="74"/>
      <c r="G57" s="74"/>
      <c r="H57" s="74"/>
      <c r="I57" s="74"/>
      <c r="J57" s="74"/>
    </row>
    <row r="58" spans="2:10">
      <c r="B58">
        <v>3</v>
      </c>
      <c r="C58">
        <v>3.4999989999999999</v>
      </c>
      <c r="D58" t="s">
        <v>244</v>
      </c>
      <c r="E58">
        <v>1.83E-2</v>
      </c>
      <c r="F58" s="74"/>
      <c r="G58" s="74"/>
      <c r="H58" s="74"/>
      <c r="I58" s="74"/>
      <c r="J58" s="74"/>
    </row>
    <row r="59" spans="2:10">
      <c r="B59">
        <v>3.5</v>
      </c>
      <c r="C59">
        <v>3.9999999000000002</v>
      </c>
      <c r="D59" t="s">
        <v>245</v>
      </c>
      <c r="E59">
        <v>1.55E-2</v>
      </c>
      <c r="F59" s="74"/>
      <c r="G59" s="74"/>
      <c r="H59" s="74"/>
      <c r="I59" s="74"/>
      <c r="J59" s="74"/>
    </row>
    <row r="60" spans="2:10">
      <c r="B60">
        <v>4</v>
      </c>
      <c r="C60">
        <v>4.4999989999999999</v>
      </c>
      <c r="D60" t="s">
        <v>246</v>
      </c>
      <c r="E60">
        <v>1.2E-2</v>
      </c>
      <c r="F60" s="74"/>
      <c r="G60" s="74"/>
      <c r="H60" s="74"/>
      <c r="I60" s="74"/>
      <c r="J60" s="74"/>
    </row>
    <row r="61" spans="2:10">
      <c r="B61">
        <v>4.5</v>
      </c>
      <c r="C61">
        <v>5.9999989999999999</v>
      </c>
      <c r="D61" t="s">
        <v>247</v>
      </c>
      <c r="E61">
        <v>9.4999999999999998E-3</v>
      </c>
      <c r="F61" s="74"/>
      <c r="G61" s="74"/>
      <c r="H61" s="74"/>
      <c r="I61" s="74"/>
      <c r="J61" s="74"/>
    </row>
    <row r="62" spans="2:10">
      <c r="B62">
        <v>6</v>
      </c>
      <c r="C62">
        <v>7.4999989999999999</v>
      </c>
      <c r="D62" t="s">
        <v>248</v>
      </c>
      <c r="E62">
        <v>8.5000000000000006E-3</v>
      </c>
      <c r="F62" s="74"/>
      <c r="G62" s="74"/>
      <c r="H62" s="74"/>
      <c r="I62" s="74"/>
      <c r="J62" s="74"/>
    </row>
    <row r="63" spans="2:10">
      <c r="B63">
        <v>7.5</v>
      </c>
      <c r="C63">
        <v>9.4999990000000007</v>
      </c>
      <c r="D63" t="s">
        <v>249</v>
      </c>
      <c r="E63">
        <v>7.7000000000000002E-3</v>
      </c>
      <c r="F63" s="74"/>
      <c r="G63" s="74"/>
      <c r="H63" s="74"/>
      <c r="I63" s="74"/>
      <c r="J63" s="74"/>
    </row>
    <row r="64" spans="2:10">
      <c r="B64">
        <v>9.5</v>
      </c>
      <c r="C64">
        <v>12.499999000000001</v>
      </c>
      <c r="D64" t="s">
        <v>250</v>
      </c>
      <c r="E64">
        <v>6.0000000000000001E-3</v>
      </c>
      <c r="F64" s="74"/>
      <c r="G64" s="74"/>
      <c r="H64" s="74"/>
      <c r="I64" s="74"/>
      <c r="J64" s="74"/>
    </row>
    <row r="65" spans="2:10">
      <c r="B65">
        <v>12.5</v>
      </c>
      <c r="C65">
        <v>100000</v>
      </c>
      <c r="D65" t="s">
        <v>251</v>
      </c>
      <c r="E65">
        <v>4.4999999999999997E-3</v>
      </c>
      <c r="F65" s="74"/>
      <c r="G65" s="74"/>
      <c r="H65" s="74"/>
      <c r="I65" s="74"/>
      <c r="J65" s="74"/>
    </row>
    <row r="66" spans="2:10">
      <c r="B66" s="74"/>
      <c r="C66" s="74"/>
      <c r="D66" s="74"/>
      <c r="E66" s="74"/>
      <c r="F66" s="74"/>
      <c r="G66" s="74"/>
      <c r="H66" s="74"/>
      <c r="I66" s="74"/>
      <c r="J66" s="74"/>
    </row>
    <row r="67" spans="2:10">
      <c r="B67" s="74"/>
      <c r="C67" s="74"/>
      <c r="D67" s="74"/>
      <c r="E67" s="74"/>
      <c r="F67" s="74"/>
      <c r="G67" s="74"/>
      <c r="H67" s="74"/>
      <c r="I67" s="74"/>
      <c r="J67" s="74"/>
    </row>
    <row r="68" spans="2:10">
      <c r="B68" s="120" t="s">
        <v>253</v>
      </c>
      <c r="C68" s="121"/>
      <c r="D68" s="121"/>
      <c r="E68" s="121"/>
      <c r="F68" s="122"/>
      <c r="G68" s="74"/>
      <c r="H68" s="74"/>
      <c r="I68" s="74"/>
      <c r="J68" s="74"/>
    </row>
    <row r="69" spans="2:10">
      <c r="B69" s="74"/>
      <c r="C69" s="74"/>
      <c r="D69" s="74"/>
      <c r="E69" s="74"/>
      <c r="F69" s="74"/>
      <c r="G69" s="74"/>
      <c r="H69" s="74"/>
      <c r="I69" s="74"/>
      <c r="J69" s="74"/>
    </row>
  </sheetData>
  <mergeCells count="18">
    <mergeCell ref="B23:J23"/>
    <mergeCell ref="K7:L7"/>
    <mergeCell ref="K8:L8"/>
    <mergeCell ref="K9:L9"/>
    <mergeCell ref="K10:L10"/>
    <mergeCell ref="B10:E10"/>
    <mergeCell ref="A1:XFD1"/>
    <mergeCell ref="B5:D5"/>
    <mergeCell ref="B4:D4"/>
    <mergeCell ref="B6:D6"/>
    <mergeCell ref="K4:L4"/>
    <mergeCell ref="K5:L5"/>
    <mergeCell ref="K6:L6"/>
    <mergeCell ref="B24:C24"/>
    <mergeCell ref="B25:C25"/>
    <mergeCell ref="B26:C26"/>
    <mergeCell ref="C27:D27"/>
    <mergeCell ref="B68:F68"/>
  </mergeCells>
  <dataValidations count="2">
    <dataValidation type="list" allowBlank="1" showInputMessage="1" showErrorMessage="1" sqref="E4" xr:uid="{4B267F0A-7049-D74D-ACA0-33CA9052C5F4}">
      <formula1>$BJ$2:$BJ$4</formula1>
    </dataValidation>
    <dataValidation type="list" allowBlank="1" showInputMessage="1" showErrorMessage="1" sqref="C27" xr:uid="{00000000-0002-0000-0800-000000000000}">
      <formula1>"Large firm (&gt; 5bn),Smaller or rieskier firm (&lt;5bn),Financial service firm"</formula1>
    </dataValidation>
  </dataValidation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9B505D-815E-7948-9258-3686E6F5538A}">
  <sheetPr codeName="Sheet4"/>
  <dimension ref="A1:R109"/>
  <sheetViews>
    <sheetView showGridLines="0" zoomScaleNormal="100" workbookViewId="0">
      <pane ySplit="1" topLeftCell="A2" activePane="bottomLeft" state="frozen"/>
      <selection pane="bottomLeft" activeCell="K23" sqref="K23"/>
    </sheetView>
  </sheetViews>
  <sheetFormatPr baseColWidth="10" defaultColWidth="12.5" defaultRowHeight="15.5" customHeight="1"/>
  <cols>
    <col min="1" max="1" width="3.6640625" style="66" customWidth="1"/>
    <col min="2" max="8" width="12.5" style="66"/>
    <col min="9" max="9" width="14.6640625" style="66" customWidth="1"/>
    <col min="10" max="11" width="12.5" style="66"/>
    <col min="12" max="12" width="13.5" style="66" customWidth="1"/>
    <col min="13" max="16384" width="12.5" style="66"/>
  </cols>
  <sheetData>
    <row r="1" spans="1:13" s="136" customFormat="1" ht="33" customHeight="1">
      <c r="A1" s="136" t="s">
        <v>203</v>
      </c>
    </row>
    <row r="2" spans="1:13" s="65" customFormat="1" ht="33" customHeight="1"/>
    <row r="3" spans="1:13" ht="17" customHeight="1">
      <c r="B3" s="72" t="s">
        <v>221</v>
      </c>
      <c r="C3" s="72"/>
      <c r="D3" s="72"/>
      <c r="F3" s="72" t="s">
        <v>263</v>
      </c>
      <c r="G3" s="72"/>
      <c r="H3" s="72"/>
    </row>
    <row r="4" spans="1:13" ht="17" customHeight="1">
      <c r="B4" s="137" t="s">
        <v>204</v>
      </c>
      <c r="C4" s="137"/>
      <c r="D4" s="70">
        <v>60</v>
      </c>
      <c r="F4" t="s">
        <v>264</v>
      </c>
      <c r="G4"/>
      <c r="H4" s="5">
        <v>0.7</v>
      </c>
      <c r="I4"/>
      <c r="J4"/>
      <c r="K4"/>
      <c r="L4"/>
    </row>
    <row r="5" spans="1:13" ht="17" customHeight="1">
      <c r="B5" s="67" t="s">
        <v>96</v>
      </c>
      <c r="C5" s="67"/>
      <c r="D5" s="46">
        <f>'Statements Input'!C8</f>
        <v>0.25</v>
      </c>
      <c r="F5" t="s">
        <v>265</v>
      </c>
      <c r="G5"/>
      <c r="H5">
        <f>IFERROR(H4*(1+(1-D5)*D6), "-")</f>
        <v>0.8901622707717457</v>
      </c>
      <c r="I5"/>
      <c r="J5"/>
      <c r="K5"/>
      <c r="L5"/>
    </row>
    <row r="6" spans="1:13" ht="17" customHeight="1">
      <c r="B6" s="66" t="s">
        <v>205</v>
      </c>
      <c r="D6" s="69">
        <f>Risk!I13</f>
        <v>0.36221384908903947</v>
      </c>
    </row>
    <row r="7" spans="1:13" ht="17" customHeight="1" thickBot="1">
      <c r="B7" s="71" t="s">
        <v>202</v>
      </c>
      <c r="C7" s="71"/>
      <c r="D7" s="55">
        <f ca="1">D8*(1+(1-D5)*D6)</f>
        <v>-7.4051011431478492E-2</v>
      </c>
    </row>
    <row r="8" spans="1:13" ht="17" customHeight="1" thickTop="1" thickBot="1">
      <c r="B8" s="71" t="s">
        <v>206</v>
      </c>
      <c r="C8" s="71"/>
      <c r="D8" s="55">
        <f ca="1">SUM(M14:M72)/SUM(L14:L72)</f>
        <v>-5.8231751337983396E-2</v>
      </c>
    </row>
    <row r="9" spans="1:13" ht="17" customHeight="1" thickTop="1" thickBot="1">
      <c r="B9" s="71" t="s">
        <v>207</v>
      </c>
      <c r="C9" s="71"/>
      <c r="D9" s="55">
        <f ca="1">STDEV(I61:I72)*SQRT(12)</f>
        <v>0.237143669563289</v>
      </c>
    </row>
    <row r="10" spans="1:13" ht="17" customHeight="1" thickTop="1" thickBot="1">
      <c r="B10" s="71" t="s">
        <v>262</v>
      </c>
      <c r="C10" s="71"/>
      <c r="D10" s="55">
        <f ca="1">0.66*D7+1*0.33</f>
        <v>0.28112633245522423</v>
      </c>
    </row>
    <row r="11" spans="1:13" ht="17" customHeight="1" thickTop="1"/>
    <row r="12" spans="1:13" ht="17" customHeight="1">
      <c r="B12" s="73" t="s">
        <v>208</v>
      </c>
      <c r="C12" s="73" t="s">
        <v>209</v>
      </c>
      <c r="D12" s="73" t="s">
        <v>210</v>
      </c>
      <c r="E12" s="73" t="s">
        <v>211</v>
      </c>
      <c r="F12" s="73" t="s">
        <v>212</v>
      </c>
      <c r="G12" s="73" t="s">
        <v>213</v>
      </c>
      <c r="H12" s="73" t="s">
        <v>214</v>
      </c>
      <c r="I12" s="73" t="s">
        <v>215</v>
      </c>
      <c r="J12" s="73" t="s">
        <v>216</v>
      </c>
      <c r="K12" s="73" t="s">
        <v>217</v>
      </c>
      <c r="L12" s="73" t="s">
        <v>218</v>
      </c>
      <c r="M12" s="73" t="s">
        <v>219</v>
      </c>
    </row>
    <row r="13" spans="1:13" ht="17" customHeight="1">
      <c r="B13">
        <f ca="1">DATE(YEAR(TODAY())-5,MONTH(TODAY()),1)</f>
        <v>44105</v>
      </c>
      <c r="C13">
        <v>1</v>
      </c>
      <c r="D13">
        <f>IF(C13&gt;$D4,0,1)</f>
        <v>1</v>
      </c>
      <c r="E13" cm="1" vm="1">
        <f t="array" aca="1" ref="E13" ca="1">INDEX(_xlfn.STOCKHISTORY('Statements Input'!$C$3,'Beta Calculation'!B13,,2,,1),2)</f>
        <v>81.900000000000006</v>
      </c>
      <c r="F13"/>
      <c r="G13">
        <v>1</v>
      </c>
      <c r="H13">
        <v>6956.9</v>
      </c>
      <c r="I13"/>
      <c r="J13"/>
      <c r="K13"/>
      <c r="L13"/>
      <c r="M13" t="s">
        <v>220</v>
      </c>
    </row>
    <row r="14" spans="1:13" ht="17" customHeight="1">
      <c r="B14">
        <f t="shared" ref="B14:B72" ca="1" si="0">EDATE(B13,1)</f>
        <v>44136</v>
      </c>
      <c r="C14">
        <v>2</v>
      </c>
      <c r="D14">
        <f>IF(C14&gt;$D4,0,1)</f>
        <v>1</v>
      </c>
      <c r="E14" cm="1" vm="2">
        <f t="array" aca="1" ref="E14" ca="1">INDEX(_xlfn.STOCKHISTORY('Statements Input'!$C$3,'Beta Calculation'!B14,,2,,1),2)</f>
        <v>84.6</v>
      </c>
      <c r="F14"/>
      <c r="G14">
        <v>1</v>
      </c>
      <c r="H14">
        <v>6730.7</v>
      </c>
      <c r="I14">
        <f t="shared" ref="I14:I72" ca="1" si="1">((E14*G14-E13+F14*G14)/E13)*D14</f>
        <v>3.2967032967032829E-2</v>
      </c>
      <c r="J14">
        <f t="shared" ref="J14:J72" si="2">((H14-H13)/H13)*D14</f>
        <v>-3.2514482025039863E-2</v>
      </c>
      <c r="K14">
        <f ca="1">(I14-AVERAGE(I14:I72))^2*D14</f>
        <v>8.185649782134919E-4</v>
      </c>
      <c r="L14">
        <f>(J14-AVERAGE(J14:J72))^2*D14</f>
        <v>2.095053459102231E-3</v>
      </c>
      <c r="M14">
        <f ca="1">(I14-AVERAGE(I14:I72))*(J14-AVERAGE(J14:J72))*D14</f>
        <v>-1.3095561802023304E-3</v>
      </c>
    </row>
    <row r="15" spans="1:13" ht="17" customHeight="1">
      <c r="B15">
        <f t="shared" ca="1" si="0"/>
        <v>44166</v>
      </c>
      <c r="C15">
        <f t="shared" ref="C15:C72" si="3">C14+1</f>
        <v>3</v>
      </c>
      <c r="D15">
        <f>IF(C15&gt;$D4,0,1)</f>
        <v>1</v>
      </c>
      <c r="E15" cm="1" vm="3">
        <f t="array" aca="1" ref="E15" ca="1">INDEX(_xlfn.STOCKHISTORY('Statements Input'!$C$3,'Beta Calculation'!B15,,2,,1),2)</f>
        <v>87.5</v>
      </c>
      <c r="F15"/>
      <c r="G15">
        <v>1</v>
      </c>
      <c r="H15">
        <v>6585.6</v>
      </c>
      <c r="I15">
        <f t="shared" ca="1" si="1"/>
        <v>3.4278959810874775E-2</v>
      </c>
      <c r="J15">
        <f t="shared" si="2"/>
        <v>-2.1557936024484744E-2</v>
      </c>
      <c r="K15">
        <f ca="1">(I15-AVERAGE(I14:I72))^2*D15</f>
        <v>8.9535609189463712E-4</v>
      </c>
      <c r="L15">
        <f>(J15-AVERAGE(J14:J72))^2*D15</f>
        <v>1.2120987041393375E-3</v>
      </c>
      <c r="M15">
        <f ca="1">(I15-AVERAGE(I14:I72))*(J15-AVERAGE(J14:J72))*D15</f>
        <v>-1.0417581095094729E-3</v>
      </c>
    </row>
    <row r="16" spans="1:13" ht="17" customHeight="1">
      <c r="B16">
        <f t="shared" ca="1" si="0"/>
        <v>44197</v>
      </c>
      <c r="C16">
        <f t="shared" si="3"/>
        <v>4</v>
      </c>
      <c r="D16">
        <f>IF(C16&gt;$D4,0,1)</f>
        <v>1</v>
      </c>
      <c r="E16" cm="1" vm="4">
        <f t="array" aca="1" ref="E16" ca="1">INDEX(_xlfn.STOCKHISTORY('Statements Input'!$C$3,'Beta Calculation'!B16,,2,,1),2)</f>
        <v>90.4</v>
      </c>
      <c r="F16"/>
      <c r="G16">
        <v>1</v>
      </c>
      <c r="H16">
        <v>8140.8</v>
      </c>
      <c r="I16">
        <f t="shared" ca="1" si="1"/>
        <v>3.314285714285721E-2</v>
      </c>
      <c r="J16">
        <f t="shared" si="2"/>
        <v>0.23615160349854222</v>
      </c>
      <c r="K16">
        <f ca="1">(I16-AVERAGE(I14:I72))^2*D16</f>
        <v>8.2865675374763222E-4</v>
      </c>
      <c r="L16">
        <f>(J16-AVERAGE(J14:J72))^2*D16</f>
        <v>4.9681883050346903E-2</v>
      </c>
      <c r="M16">
        <f ca="1">(I16-AVERAGE(I14:I72))*(J16-AVERAGE(J14:J72))*D16</f>
        <v>6.4163251108847325E-3</v>
      </c>
    </row>
    <row r="17" spans="2:18" ht="17" customHeight="1">
      <c r="B17">
        <f t="shared" ca="1" si="0"/>
        <v>44228</v>
      </c>
      <c r="C17">
        <f t="shared" si="3"/>
        <v>5</v>
      </c>
      <c r="D17">
        <f>IF(C17&gt;$D4,0,1)</f>
        <v>1</v>
      </c>
      <c r="E17" cm="1" vm="5">
        <f t="array" aca="1" ref="E17" ca="1">INDEX(_xlfn.STOCKHISTORY('Statements Input'!$C$3,'Beta Calculation'!B17,,2,,1),2)</f>
        <v>91.8</v>
      </c>
      <c r="F17"/>
      <c r="G17">
        <v>1</v>
      </c>
      <c r="H17">
        <v>8099.2</v>
      </c>
      <c r="I17">
        <f t="shared" ca="1" si="1"/>
        <v>1.5486725663716719E-2</v>
      </c>
      <c r="J17">
        <f t="shared" si="2"/>
        <v>-5.1100628930818058E-3</v>
      </c>
      <c r="K17">
        <f ca="1">(I17-AVERAGE(I14:I72))^2*D17</f>
        <v>1.2388284981215786E-4</v>
      </c>
      <c r="L17">
        <f>(J17-AVERAGE(J14:J72))^2*D17</f>
        <v>3.3735898809449821E-4</v>
      </c>
      <c r="M17">
        <f ca="1">(I17-AVERAGE(I14:I72))*(J17-AVERAGE(J14:J72))*D17</f>
        <v>-2.0443334575086393E-4</v>
      </c>
    </row>
    <row r="18" spans="2:18" ht="17" customHeight="1">
      <c r="B18">
        <f t="shared" ca="1" si="0"/>
        <v>44256</v>
      </c>
      <c r="C18">
        <f t="shared" si="3"/>
        <v>6</v>
      </c>
      <c r="D18">
        <f>IF(C18&gt;$D4,0,1)</f>
        <v>1</v>
      </c>
      <c r="E18" cm="1" vm="6">
        <f t="array" aca="1" ref="E18" ca="1">INDEX(_xlfn.STOCKHISTORY('Statements Input'!$C$3,'Beta Calculation'!B18,,2,,1),2)</f>
        <v>102.5</v>
      </c>
      <c r="F18"/>
      <c r="G18">
        <v>1</v>
      </c>
      <c r="H18">
        <v>7798.2</v>
      </c>
      <c r="I18">
        <f t="shared" ca="1" si="1"/>
        <v>0.11655773420479307</v>
      </c>
      <c r="J18">
        <f t="shared" si="2"/>
        <v>-3.7164164361912291E-2</v>
      </c>
      <c r="K18">
        <f ca="1">(I18-AVERAGE(I14:I72))^2*D18</f>
        <v>1.2589126296763543E-2</v>
      </c>
      <c r="L18">
        <f>(J18-AVERAGE(J14:J72))^2*D18</f>
        <v>2.542321236617432E-3</v>
      </c>
      <c r="M18">
        <f ca="1">(I18-AVERAGE(I14:I72))*(J18-AVERAGE(J14:J72))*D18</f>
        <v>-5.6573494796345151E-3</v>
      </c>
    </row>
    <row r="19" spans="2:18" ht="17" customHeight="1">
      <c r="B19">
        <f t="shared" ca="1" si="0"/>
        <v>44287</v>
      </c>
      <c r="C19">
        <f t="shared" si="3"/>
        <v>7</v>
      </c>
      <c r="D19">
        <f>IF(C19&gt;$D4,0,1)</f>
        <v>1</v>
      </c>
      <c r="E19" cm="1" vm="7">
        <f t="array" aca="1" ref="E19" ca="1">INDEX(_xlfn.STOCKHISTORY('Statements Input'!$C$3,'Beta Calculation'!B19,,2,,1),2)</f>
        <v>116</v>
      </c>
      <c r="F19"/>
      <c r="G19">
        <v>1</v>
      </c>
      <c r="H19">
        <v>8378.1</v>
      </c>
      <c r="I19">
        <f t="shared" ca="1" si="1"/>
        <v>0.13170731707317074</v>
      </c>
      <c r="J19">
        <f t="shared" si="2"/>
        <v>7.4363314611064157E-2</v>
      </c>
      <c r="K19">
        <f ca="1">(I19-AVERAGE(I14:I72))^2*D19</f>
        <v>1.6218241209947241E-2</v>
      </c>
      <c r="L19">
        <f>(J19-AVERAGE(J14:J72))^2*D19</f>
        <v>3.7339484534997178E-3</v>
      </c>
      <c r="M19">
        <f ca="1">(I19-AVERAGE(I14:I72))*(J19-AVERAGE(J14:J72))*D19</f>
        <v>7.7819070082061443E-3</v>
      </c>
    </row>
    <row r="20" spans="2:18" ht="17" customHeight="1">
      <c r="B20">
        <f t="shared" ca="1" si="0"/>
        <v>44317</v>
      </c>
      <c r="C20">
        <f t="shared" si="3"/>
        <v>8</v>
      </c>
      <c r="D20">
        <f>IF(C20&gt;$D4,0,1)</f>
        <v>1</v>
      </c>
      <c r="E20" cm="1" vm="8">
        <f t="array" aca="1" ref="E20" ca="1">INDEX(_xlfn.STOCKHISTORY('Statements Input'!$C$3,'Beta Calculation'!B20,,2,,1),2)</f>
        <v>117.5</v>
      </c>
      <c r="F20"/>
      <c r="G20">
        <v>1</v>
      </c>
      <c r="H20">
        <v>8577.6</v>
      </c>
      <c r="I20">
        <f t="shared" ca="1" si="1"/>
        <v>1.2931034482758621E-2</v>
      </c>
      <c r="J20">
        <f t="shared" si="2"/>
        <v>2.3812081498191712E-2</v>
      </c>
      <c r="K20">
        <f ca="1">(I20-AVERAGE(I14:I72))^2*D20</f>
        <v>7.3523355345992208E-5</v>
      </c>
      <c r="L20">
        <f>(J20-AVERAGE(J14:J72))^2*D20</f>
        <v>1.1140400525564854E-4</v>
      </c>
      <c r="M20">
        <f ca="1">(I20-AVERAGE(I14:I72))*(J20-AVERAGE(J14:J72))*D20</f>
        <v>9.050301799043958E-5</v>
      </c>
      <c r="R20" s="68"/>
    </row>
    <row r="21" spans="2:18" ht="17" customHeight="1">
      <c r="B21">
        <f t="shared" ca="1" si="0"/>
        <v>44348</v>
      </c>
      <c r="C21">
        <f t="shared" si="3"/>
        <v>9</v>
      </c>
      <c r="D21">
        <f>IF(C21&gt;$D4,0,1)</f>
        <v>1</v>
      </c>
      <c r="E21" cm="1" vm="7">
        <f t="array" aca="1" ref="E21" ca="1">INDEX(_xlfn.STOCKHISTORY('Statements Input'!$C$3,'Beta Calculation'!B21,,2,,1),2)</f>
        <v>116</v>
      </c>
      <c r="F21"/>
      <c r="G21">
        <v>1</v>
      </c>
      <c r="H21">
        <v>8893.7000000000007</v>
      </c>
      <c r="I21">
        <f t="shared" ca="1" si="1"/>
        <v>-1.276595744680851E-2</v>
      </c>
      <c r="J21">
        <f t="shared" si="2"/>
        <v>3.6851800037306516E-2</v>
      </c>
      <c r="K21">
        <f ca="1">(I21-AVERAGE(I14:I72))^2*D21</f>
        <v>2.9317712373816901E-4</v>
      </c>
      <c r="L21">
        <f>(J21-AVERAGE(J14:J72))^2*D21</f>
        <v>5.5670175713148386E-4</v>
      </c>
      <c r="M21">
        <f ca="1">(I21-AVERAGE(I14:I72))*(J21-AVERAGE(J14:J72))*D21</f>
        <v>-4.0399532167562677E-4</v>
      </c>
    </row>
    <row r="22" spans="2:18" ht="17" customHeight="1">
      <c r="B22">
        <f t="shared" ca="1" si="0"/>
        <v>44378</v>
      </c>
      <c r="C22">
        <f t="shared" si="3"/>
        <v>10</v>
      </c>
      <c r="D22">
        <f>IF(C22&gt;$D4,0,1)</f>
        <v>1</v>
      </c>
      <c r="E22" cm="1" vm="9">
        <f t="array" aca="1" ref="E22" ca="1">INDEX(_xlfn.STOCKHISTORY('Statements Input'!$C$3,'Beta Calculation'!B22,,2,,1),2)</f>
        <v>112</v>
      </c>
      <c r="F22"/>
      <c r="G22">
        <v>1</v>
      </c>
      <c r="H22">
        <v>9189.7000000000007</v>
      </c>
      <c r="I22">
        <f t="shared" ca="1" si="1"/>
        <v>-3.4482758620689655E-2</v>
      </c>
      <c r="J22">
        <f t="shared" si="2"/>
        <v>3.3281986125009835E-2</v>
      </c>
      <c r="K22">
        <f ca="1">(I22-AVERAGE(I14:I72))^2*D22</f>
        <v>1.5084847772085738E-3</v>
      </c>
      <c r="L22">
        <f>(J22-AVERAGE(J14:J72))^2*D22</f>
        <v>4.009891790374024E-4</v>
      </c>
      <c r="M22">
        <f ca="1">(I22-AVERAGE(I14:I72))*(J22-AVERAGE(J14:J72))*D22</f>
        <v>-7.7774422042422458E-4</v>
      </c>
    </row>
    <row r="23" spans="2:18" ht="17" customHeight="1">
      <c r="B23">
        <f t="shared" ca="1" si="0"/>
        <v>44409</v>
      </c>
      <c r="C23">
        <f t="shared" si="3"/>
        <v>11</v>
      </c>
      <c r="D23">
        <f>IF(C23&gt;$D4,0,1)</f>
        <v>1</v>
      </c>
      <c r="E23" cm="1" vm="10">
        <f t="array" aca="1" ref="E23" ca="1">INDEX(_xlfn.STOCKHISTORY('Statements Input'!$C$3,'Beta Calculation'!B23,,2,,1),2)</f>
        <v>139.5</v>
      </c>
      <c r="F23"/>
      <c r="G23">
        <v>1</v>
      </c>
      <c r="H23">
        <v>8932.2999999999993</v>
      </c>
      <c r="I23">
        <f t="shared" ca="1" si="1"/>
        <v>0.24553571428571427</v>
      </c>
      <c r="J23">
        <f t="shared" si="2"/>
        <v>-2.8009619465271057E-2</v>
      </c>
      <c r="K23">
        <f ca="1">(I23-AVERAGE(I14:I72))^2*D23</f>
        <v>5.8167433479346324E-2</v>
      </c>
      <c r="L23">
        <f>(J23-AVERAGE(J14:J72))^2*D23</f>
        <v>1.7029563245108581E-3</v>
      </c>
      <c r="M23">
        <f ca="1">(I23-AVERAGE(I14:I72))*(J23-AVERAGE(J14:J72))*D23</f>
        <v>-9.9527181575797402E-3</v>
      </c>
    </row>
    <row r="24" spans="2:18" ht="17" customHeight="1">
      <c r="B24">
        <f t="shared" ca="1" si="0"/>
        <v>44440</v>
      </c>
      <c r="C24">
        <f t="shared" si="3"/>
        <v>12</v>
      </c>
      <c r="D24">
        <f>IF(C24&gt;$D4,0,1)</f>
        <v>1</v>
      </c>
      <c r="E24" cm="1" vm="11">
        <f t="array" aca="1" ref="E24" ca="1">INDEX(_xlfn.STOCKHISTORY('Statements Input'!$C$3,'Beta Calculation'!B24,,2,,1),2)</f>
        <v>137.5</v>
      </c>
      <c r="F24"/>
      <c r="G24">
        <v>1</v>
      </c>
      <c r="H24">
        <v>8758.7000000000007</v>
      </c>
      <c r="I24">
        <f t="shared" ca="1" si="1"/>
        <v>-1.4336917562724014E-2</v>
      </c>
      <c r="J24">
        <f t="shared" si="2"/>
        <v>-1.9435083908959459E-2</v>
      </c>
      <c r="K24">
        <f ca="1">(I24-AVERAGE(I14:I72))^2*D24</f>
        <v>3.4944230412730791E-4</v>
      </c>
      <c r="L24">
        <f>(J24-AVERAGE(J14:J72))^2*D24</f>
        <v>1.0687901295737023E-3</v>
      </c>
      <c r="M24">
        <f ca="1">(I24-AVERAGE(I14:I72))*(J24-AVERAGE(J14:J72))*D24</f>
        <v>6.111304979353906E-4</v>
      </c>
    </row>
    <row r="25" spans="2:18" ht="17" customHeight="1">
      <c r="B25">
        <f t="shared" ca="1" si="0"/>
        <v>44470</v>
      </c>
      <c r="C25">
        <f t="shared" si="3"/>
        <v>13</v>
      </c>
      <c r="D25">
        <f>IF(C25&gt;$D4,0,1)</f>
        <v>1</v>
      </c>
      <c r="E25" cm="1" vm="12">
        <f t="array" aca="1" ref="E25" ca="1">INDEX(_xlfn.STOCKHISTORY('Statements Input'!$C$3,'Beta Calculation'!B25,,2,,1),2)</f>
        <v>131.25</v>
      </c>
      <c r="F25"/>
      <c r="G25">
        <v>1</v>
      </c>
      <c r="H25">
        <v>8991.5</v>
      </c>
      <c r="I25">
        <f t="shared" ca="1" si="1"/>
        <v>-4.5454545454545456E-2</v>
      </c>
      <c r="J25">
        <f t="shared" si="2"/>
        <v>2.6579286880473046E-2</v>
      </c>
      <c r="K25">
        <f ca="1">(I25-AVERAGE(I14:I72))^2*D25</f>
        <v>2.4811361029819065E-3</v>
      </c>
      <c r="L25">
        <f>(J25-AVERAGE(J14:J72))^2*D25</f>
        <v>1.7747608263705823E-4</v>
      </c>
      <c r="M25">
        <f ca="1">(I25-AVERAGE(I14:I72))*(J25-AVERAGE(J14:J72))*D25</f>
        <v>-6.6358293833296029E-4</v>
      </c>
    </row>
    <row r="26" spans="2:18" ht="17" customHeight="1">
      <c r="B26">
        <f t="shared" ca="1" si="0"/>
        <v>44501</v>
      </c>
      <c r="C26">
        <f t="shared" si="3"/>
        <v>14</v>
      </c>
      <c r="D26">
        <f>IF(C26&gt;$D4,0,1)</f>
        <v>1</v>
      </c>
      <c r="E26" cm="1" vm="13">
        <f t="array" aca="1" ref="E26" ca="1">INDEX(_xlfn.STOCKHISTORY('Statements Input'!$C$3,'Beta Calculation'!B26,,2,,1),2)</f>
        <v>133</v>
      </c>
      <c r="F26"/>
      <c r="G26">
        <v>1</v>
      </c>
      <c r="H26">
        <v>8799.5</v>
      </c>
      <c r="I26">
        <f t="shared" ca="1" si="1"/>
        <v>1.3333333333333334E-2</v>
      </c>
      <c r="J26">
        <f t="shared" si="2"/>
        <v>-2.1353500528276705E-2</v>
      </c>
      <c r="K26">
        <f ca="1">(I26-AVERAGE(I14:I72))^2*D26</f>
        <v>8.0584283931963688E-5</v>
      </c>
      <c r="L26">
        <f>(J26-AVERAGE(J14:J72))^2*D26</f>
        <v>1.1979055693884741E-3</v>
      </c>
      <c r="M26">
        <f ca="1">(I26-AVERAGE(I14:I72))*(J26-AVERAGE(J14:J72))*D26</f>
        <v>-3.1069657630440899E-4</v>
      </c>
    </row>
    <row r="27" spans="2:18" ht="17" customHeight="1">
      <c r="B27">
        <f t="shared" ca="1" si="0"/>
        <v>44531</v>
      </c>
      <c r="C27">
        <f t="shared" si="3"/>
        <v>15</v>
      </c>
      <c r="D27">
        <f>IF(C27&gt;$D4,0,1)</f>
        <v>1</v>
      </c>
      <c r="E27" cm="1" vm="14">
        <f t="array" aca="1" ref="E27" ca="1">INDEX(_xlfn.STOCKHISTORY('Statements Input'!$C$3,'Beta Calculation'!B27,,2,,1),2)</f>
        <v>130</v>
      </c>
      <c r="F27"/>
      <c r="G27">
        <v>1</v>
      </c>
      <c r="H27">
        <v>9182.6</v>
      </c>
      <c r="I27">
        <f t="shared" ca="1" si="1"/>
        <v>-2.2556390977443608E-2</v>
      </c>
      <c r="J27">
        <f t="shared" si="2"/>
        <v>4.3536564577532855E-2</v>
      </c>
      <c r="K27">
        <f ca="1">(I27-AVERAGE(I14:I72))^2*D27</f>
        <v>7.2430146052392022E-4</v>
      </c>
      <c r="L27">
        <f>(J27-AVERAGE(J14:J72))^2*D27</f>
        <v>9.1683556390868793E-4</v>
      </c>
      <c r="M27">
        <f ca="1">(I27-AVERAGE(I14:I72))*(J27-AVERAGE(J14:J72))*D27</f>
        <v>-8.1490204196537307E-4</v>
      </c>
    </row>
    <row r="28" spans="2:18" ht="17" customHeight="1">
      <c r="B28">
        <f t="shared" ca="1" si="0"/>
        <v>44562</v>
      </c>
      <c r="C28">
        <f t="shared" si="3"/>
        <v>16</v>
      </c>
      <c r="D28">
        <f>IF(C28&gt;$D4,0,1)</f>
        <v>1</v>
      </c>
      <c r="E28" cm="1" vm="15">
        <f t="array" aca="1" ref="E28" ca="1">INDEX(_xlfn.STOCKHISTORY('Statements Input'!$C$3,'Beta Calculation'!B28,,2,,1),2)</f>
        <v>126</v>
      </c>
      <c r="F28"/>
      <c r="G28">
        <v>1</v>
      </c>
      <c r="H28">
        <v>8452.6</v>
      </c>
      <c r="I28">
        <f t="shared" ca="1" si="1"/>
        <v>-3.0769230769230771E-2</v>
      </c>
      <c r="J28">
        <f t="shared" si="2"/>
        <v>-7.9498181342974747E-2</v>
      </c>
      <c r="K28">
        <f ca="1">(I28-AVERAGE(I14:I72))^2*D28</f>
        <v>1.2338140381920311E-3</v>
      </c>
      <c r="L28">
        <f>(J28-AVERAGE(J14:J72))^2*D28</f>
        <v>8.6035741098110814E-3</v>
      </c>
      <c r="M28">
        <f ca="1">(I28-AVERAGE(I14:I72))*(J28-AVERAGE(J14:J72))*D28</f>
        <v>3.2580992181501195E-3</v>
      </c>
    </row>
    <row r="29" spans="2:18" ht="17" customHeight="1">
      <c r="B29">
        <f t="shared" ca="1" si="0"/>
        <v>44593</v>
      </c>
      <c r="C29">
        <f t="shared" si="3"/>
        <v>17</v>
      </c>
      <c r="D29">
        <f>IF(C29&gt;$D4,0,1)</f>
        <v>1</v>
      </c>
      <c r="E29" cm="1" vm="14">
        <f t="array" aca="1" ref="E29" ca="1">INDEX(_xlfn.STOCKHISTORY('Statements Input'!$C$3,'Beta Calculation'!B29,,2,,1),2)</f>
        <v>130</v>
      </c>
      <c r="F29"/>
      <c r="G29">
        <v>1</v>
      </c>
      <c r="H29">
        <v>8761.2000000000007</v>
      </c>
      <c r="I29">
        <f t="shared" ca="1" si="1"/>
        <v>3.1746031746031744E-2</v>
      </c>
      <c r="J29">
        <f t="shared" si="2"/>
        <v>3.6509476374133445E-2</v>
      </c>
      <c r="K29">
        <f ca="1">(I29-AVERAGE(I14:I72))^2*D29</f>
        <v>7.5018872918599017E-4</v>
      </c>
      <c r="L29">
        <f>(J29-AVERAGE(J14:J72))^2*D29</f>
        <v>5.4066501202916875E-4</v>
      </c>
      <c r="M29">
        <f ca="1">(I29-AVERAGE(I14:I72))*(J29-AVERAGE(J14:J72))*D29</f>
        <v>6.3686795985470185E-4</v>
      </c>
    </row>
    <row r="30" spans="2:18" ht="17" customHeight="1">
      <c r="B30">
        <f t="shared" ca="1" si="0"/>
        <v>44621</v>
      </c>
      <c r="C30">
        <f t="shared" si="3"/>
        <v>18</v>
      </c>
      <c r="D30">
        <f>IF(C30&gt;$D4,0,1)</f>
        <v>1</v>
      </c>
      <c r="E30" cm="1" vm="16">
        <f t="array" aca="1" ref="E30" ca="1">INDEX(_xlfn.STOCKHISTORY('Statements Input'!$C$3,'Beta Calculation'!B30,,2,,1),2)</f>
        <v>128.5</v>
      </c>
      <c r="F30"/>
      <c r="G30">
        <v>1</v>
      </c>
      <c r="H30">
        <v>8726.7000000000007</v>
      </c>
      <c r="I30">
        <f t="shared" ca="1" si="1"/>
        <v>-1.1538461538461539E-2</v>
      </c>
      <c r="J30">
        <f t="shared" si="2"/>
        <v>-3.9378167374332284E-3</v>
      </c>
      <c r="K30">
        <f ca="1">(I30-AVERAGE(I14:I72))^2*D30</f>
        <v>2.526484792069035E-4</v>
      </c>
      <c r="L30">
        <f>(J30-AVERAGE(J14:J72))^2*D30</f>
        <v>2.9567107389827921E-4</v>
      </c>
      <c r="M30">
        <f ca="1">(I30-AVERAGE(I14:I72))*(J30-AVERAGE(J14:J72))*D30</f>
        <v>2.7331455717885251E-4</v>
      </c>
    </row>
    <row r="31" spans="2:18" ht="17" customHeight="1">
      <c r="B31">
        <f t="shared" ca="1" si="0"/>
        <v>44652</v>
      </c>
      <c r="C31">
        <f t="shared" si="3"/>
        <v>19</v>
      </c>
      <c r="D31">
        <f>IF(C31&gt;$D4,0,1)</f>
        <v>1</v>
      </c>
      <c r="E31" cm="1" vm="17">
        <f t="array" aca="1" ref="E31" ca="1">INDEX(_xlfn.STOCKHISTORY('Statements Input'!$C$3,'Beta Calculation'!B31,,2,,1),2)</f>
        <v>120</v>
      </c>
      <c r="F31"/>
      <c r="G31">
        <v>1</v>
      </c>
      <c r="H31">
        <v>8188.2</v>
      </c>
      <c r="I31">
        <f t="shared" ca="1" si="1"/>
        <v>-6.6147859922178989E-2</v>
      </c>
      <c r="J31">
        <f t="shared" si="2"/>
        <v>-6.170717453332885E-2</v>
      </c>
      <c r="K31">
        <f ca="1">(I31-AVERAGE(I14:I72))^2*D31</f>
        <v>4.9708588992221385E-3</v>
      </c>
      <c r="L31">
        <f>(J31-AVERAGE(J14:J72))^2*D31</f>
        <v>5.6196682318852484E-3</v>
      </c>
      <c r="M31">
        <f ca="1">(I31-AVERAGE(I14:I72))*(J31-AVERAGE(J14:J72))*D31</f>
        <v>5.2853171939953357E-3</v>
      </c>
    </row>
    <row r="32" spans="2:18" ht="17" customHeight="1">
      <c r="B32">
        <f t="shared" ca="1" si="0"/>
        <v>44682</v>
      </c>
      <c r="C32">
        <f t="shared" si="3"/>
        <v>20</v>
      </c>
      <c r="D32">
        <f>IF(C32&gt;$D4,0,1)</f>
        <v>1</v>
      </c>
      <c r="E32" cm="1" vm="18">
        <f t="array" aca="1" ref="E32" ca="1">INDEX(_xlfn.STOCKHISTORY('Statements Input'!$C$3,'Beta Calculation'!B32,,2,,1),2)</f>
        <v>122.5</v>
      </c>
      <c r="F32"/>
      <c r="G32">
        <v>1</v>
      </c>
      <c r="H32">
        <v>8503.7000000000007</v>
      </c>
      <c r="I32">
        <f t="shared" ca="1" si="1"/>
        <v>2.0833333333333332E-2</v>
      </c>
      <c r="J32">
        <f t="shared" si="2"/>
        <v>3.8531056886739565E-2</v>
      </c>
      <c r="K32">
        <f ca="1">(I32-AVERAGE(I14:I72))^2*D32</f>
        <v>2.7148740823545618E-4</v>
      </c>
      <c r="L32">
        <f>(J32-AVERAGE(J14:J72))^2*D32</f>
        <v>6.3876420660188729E-4</v>
      </c>
      <c r="M32">
        <f ca="1">(I32-AVERAGE(I14:I72))*(J32-AVERAGE(J14:J72))*D32</f>
        <v>4.1643299451883474E-4</v>
      </c>
    </row>
    <row r="33" spans="2:13" ht="17" customHeight="1">
      <c r="B33">
        <f t="shared" ca="1" si="0"/>
        <v>44713</v>
      </c>
      <c r="C33">
        <f t="shared" si="3"/>
        <v>21</v>
      </c>
      <c r="D33">
        <f>IF(C33&gt;$D4,0,1)</f>
        <v>1</v>
      </c>
      <c r="E33" cm="1" vm="19">
        <f t="array" aca="1" ref="E33" ca="1">INDEX(_xlfn.STOCKHISTORY('Statements Input'!$C$3,'Beta Calculation'!B33,,2,,1),2)</f>
        <v>114.5</v>
      </c>
      <c r="F33"/>
      <c r="G33">
        <v>1</v>
      </c>
      <c r="H33">
        <v>8436</v>
      </c>
      <c r="I33">
        <f t="shared" ca="1" si="1"/>
        <v>-6.5306122448979598E-2</v>
      </c>
      <c r="J33">
        <f t="shared" si="2"/>
        <v>-7.9612404012371941E-3</v>
      </c>
      <c r="K33">
        <f ca="1">(I33-AVERAGE(I14:I72))^2*D33</f>
        <v>4.8528751677216746E-3</v>
      </c>
      <c r="L33">
        <f>(J33-AVERAGE(J14:J72))^2*D33</f>
        <v>4.5022526507872742E-4</v>
      </c>
      <c r="M33">
        <f ca="1">(I33-AVERAGE(I14:I72))*(J33-AVERAGE(J14:J72))*D33</f>
        <v>1.4781363295655325E-3</v>
      </c>
    </row>
    <row r="34" spans="2:13" ht="17" customHeight="1">
      <c r="B34">
        <f t="shared" ca="1" si="0"/>
        <v>44743</v>
      </c>
      <c r="C34">
        <f t="shared" si="3"/>
        <v>22</v>
      </c>
      <c r="D34">
        <f>IF(C34&gt;$D4,0,1)</f>
        <v>1</v>
      </c>
      <c r="E34" cm="1" vm="7">
        <f t="array" aca="1" ref="E34" ca="1">INDEX(_xlfn.STOCKHISTORY('Statements Input'!$C$3,'Beta Calculation'!B34,,2,,1),2)</f>
        <v>116</v>
      </c>
      <c r="F34"/>
      <c r="G34">
        <v>1</v>
      </c>
      <c r="H34">
        <v>8747.2000000000007</v>
      </c>
      <c r="I34">
        <f t="shared" ca="1" si="1"/>
        <v>1.3100436681222707E-2</v>
      </c>
      <c r="J34">
        <f t="shared" si="2"/>
        <v>3.68895211000475E-2</v>
      </c>
      <c r="K34">
        <f ca="1">(I34-AVERAGE(I14:I72))^2*D34</f>
        <v>7.6457156536325382E-5</v>
      </c>
      <c r="L34">
        <f>(J34-AVERAGE(J14:J72))^2*D34</f>
        <v>5.5848320136105676E-4</v>
      </c>
      <c r="M34">
        <f ca="1">(I34-AVERAGE(I14:I72))*(J34-AVERAGE(J14:J72))*D34</f>
        <v>2.0663987405476815E-4</v>
      </c>
    </row>
    <row r="35" spans="2:13" ht="17" customHeight="1">
      <c r="B35">
        <f t="shared" ca="1" si="0"/>
        <v>44774</v>
      </c>
      <c r="C35">
        <f t="shared" si="3"/>
        <v>23</v>
      </c>
      <c r="D35">
        <f>IF(C35&gt;$D4,0,1)</f>
        <v>1</v>
      </c>
      <c r="E35" cm="1" vm="20">
        <f t="array" aca="1" ref="E35" ca="1">INDEX(_xlfn.STOCKHISTORY('Statements Input'!$C$3,'Beta Calculation'!B35,,2,,1),2)</f>
        <v>106.25</v>
      </c>
      <c r="F35"/>
      <c r="G35">
        <v>1</v>
      </c>
      <c r="H35">
        <v>8176.1</v>
      </c>
      <c r="I35">
        <f t="shared" ca="1" si="1"/>
        <v>-8.4051724137931036E-2</v>
      </c>
      <c r="J35">
        <f t="shared" si="2"/>
        <v>-6.5289464057069729E-2</v>
      </c>
      <c r="K35">
        <f ca="1">(I35-AVERAGE(I14:I72))^2*D35</f>
        <v>7.8160067360826362E-3</v>
      </c>
      <c r="L35">
        <f>(J35-AVERAGE(J14:J72))^2*D35</f>
        <v>6.1695897324746752E-3</v>
      </c>
      <c r="M35">
        <f ca="1">(I35-AVERAGE(I14:I72))*(J35-AVERAGE(J14:J72))*D35</f>
        <v>6.9441741703307192E-3</v>
      </c>
    </row>
    <row r="36" spans="2:13" ht="17" customHeight="1">
      <c r="B36">
        <f t="shared" ca="1" si="0"/>
        <v>44805</v>
      </c>
      <c r="C36">
        <f t="shared" si="3"/>
        <v>24</v>
      </c>
      <c r="D36">
        <f>IF(C36&gt;$D4,0,1)</f>
        <v>1</v>
      </c>
      <c r="E36" cm="1" vm="21">
        <f t="array" aca="1" ref="E36" ca="1">INDEX(_xlfn.STOCKHISTORY('Statements Input'!$C$3,'Beta Calculation'!B36,,2,,1),2)</f>
        <v>90</v>
      </c>
      <c r="F36"/>
      <c r="G36">
        <v>1</v>
      </c>
      <c r="H36">
        <v>8085.1</v>
      </c>
      <c r="I36">
        <f t="shared" ca="1" si="1"/>
        <v>-0.15294117647058825</v>
      </c>
      <c r="J36">
        <f t="shared" si="2"/>
        <v>-1.1130000856153911E-2</v>
      </c>
      <c r="K36">
        <f ca="1">(I36-AVERAGE(I14:I72))^2*D36</f>
        <v>2.4742545929515747E-2</v>
      </c>
      <c r="L36">
        <f>(J36-AVERAGE(J14:J72))^2*D36</f>
        <v>5.9473907340363685E-4</v>
      </c>
      <c r="M36">
        <f ca="1">(I36-AVERAGE(I14:I72))*(J36-AVERAGE(J14:J72))*D36</f>
        <v>3.8360603279624164E-3</v>
      </c>
    </row>
    <row r="37" spans="2:13" ht="17" customHeight="1">
      <c r="B37">
        <f t="shared" ca="1" si="0"/>
        <v>44835</v>
      </c>
      <c r="C37">
        <f t="shared" si="3"/>
        <v>25</v>
      </c>
      <c r="D37">
        <f>IF(C37&gt;$D4,0,1)</f>
        <v>1</v>
      </c>
      <c r="E37" cm="1" vm="22">
        <f t="array" aca="1" ref="E37" ca="1">INDEX(_xlfn.STOCKHISTORY('Statements Input'!$C$3,'Beta Calculation'!B37,,2,,1),2)</f>
        <v>97</v>
      </c>
      <c r="F37"/>
      <c r="G37">
        <v>1</v>
      </c>
      <c r="H37">
        <v>7806</v>
      </c>
      <c r="I37">
        <f t="shared" ca="1" si="1"/>
        <v>7.7777777777777779E-2</v>
      </c>
      <c r="J37">
        <f t="shared" si="2"/>
        <v>-3.4520290410755633E-2</v>
      </c>
      <c r="K37">
        <f ca="1">(I37-AVERAGE(I14:I72))^2*D37</f>
        <v>5.390690142144691E-3</v>
      </c>
      <c r="L37">
        <f>(J37-AVERAGE(J14:J72))^2*D37</f>
        <v>2.2826954621616821E-3</v>
      </c>
      <c r="M37">
        <f ca="1">(I37-AVERAGE(I14:I72))*(J37-AVERAGE(J14:J72))*D37</f>
        <v>-3.5078916638621267E-3</v>
      </c>
    </row>
    <row r="38" spans="2:13" ht="17" customHeight="1">
      <c r="B38">
        <f t="shared" ca="1" si="0"/>
        <v>44866</v>
      </c>
      <c r="C38">
        <f t="shared" si="3"/>
        <v>26</v>
      </c>
      <c r="D38">
        <f>IF(C38&gt;$D4,0,1)</f>
        <v>1</v>
      </c>
      <c r="E38" cm="1" vm="23">
        <f t="array" aca="1" ref="E38" ca="1">INDEX(_xlfn.STOCKHISTORY('Statements Input'!$C$3,'Beta Calculation'!B38,,2,,1),2)</f>
        <v>105</v>
      </c>
      <c r="F38"/>
      <c r="G38">
        <v>1</v>
      </c>
      <c r="H38">
        <v>7462</v>
      </c>
      <c r="I38">
        <f t="shared" ca="1" si="1"/>
        <v>8.247422680412371E-2</v>
      </c>
      <c r="J38">
        <f t="shared" si="2"/>
        <v>-4.4068665129387653E-2</v>
      </c>
      <c r="K38">
        <f ca="1">(I38-AVERAGE(I14:I72))^2*D38</f>
        <v>6.1023857436013976E-3</v>
      </c>
      <c r="L38">
        <f>(J38-AVERAGE(J14:J72))^2*D38</f>
        <v>3.2862630584613041E-3</v>
      </c>
      <c r="M38">
        <f ca="1">(I38-AVERAGE(I14:I72))*(J38-AVERAGE(J14:J72))*D38</f>
        <v>-4.4781742750453768E-3</v>
      </c>
    </row>
    <row r="39" spans="2:13" ht="17" customHeight="1">
      <c r="B39">
        <f t="shared" ca="1" si="0"/>
        <v>44896</v>
      </c>
      <c r="C39">
        <f t="shared" si="3"/>
        <v>27</v>
      </c>
      <c r="D39">
        <f>IF(C39&gt;$D4,0,1)</f>
        <v>1</v>
      </c>
      <c r="E39" cm="1" vm="24">
        <f t="array" aca="1" ref="E39" ca="1">INDEX(_xlfn.STOCKHISTORY('Statements Input'!$C$3,'Beta Calculation'!B39,,2,,1),2)</f>
        <v>104</v>
      </c>
      <c r="F39"/>
      <c r="G39">
        <v>1</v>
      </c>
      <c r="H39">
        <v>7999</v>
      </c>
      <c r="I39">
        <f t="shared" ca="1" si="1"/>
        <v>-9.5238095238095247E-3</v>
      </c>
      <c r="J39">
        <f t="shared" si="2"/>
        <v>7.1964620745108551E-2</v>
      </c>
      <c r="K39">
        <f ca="1">(I39-AVERAGE(I14:I72))^2*D39</f>
        <v>1.9266183707506118E-4</v>
      </c>
      <c r="L39">
        <f>(J39-AVERAGE(J14:J72))^2*D39</f>
        <v>3.4465528062051372E-3</v>
      </c>
      <c r="M39">
        <f ca="1">(I39-AVERAGE(I14:I72))*(J39-AVERAGE(J14:J72))*D39</f>
        <v>-8.148737296168585E-4</v>
      </c>
    </row>
    <row r="40" spans="2:13" ht="17" customHeight="1">
      <c r="B40">
        <f t="shared" ca="1" si="0"/>
        <v>44927</v>
      </c>
      <c r="C40">
        <f t="shared" si="3"/>
        <v>28</v>
      </c>
      <c r="D40">
        <f>IF(C40&gt;$D4,0,1)</f>
        <v>1</v>
      </c>
      <c r="E40" cm="1" vm="24">
        <f t="array" aca="1" ref="E40" ca="1">INDEX(_xlfn.STOCKHISTORY('Statements Input'!$C$3,'Beta Calculation'!B40,,2,,1),2)</f>
        <v>104</v>
      </c>
      <c r="F40"/>
      <c r="G40">
        <v>1</v>
      </c>
      <c r="H40">
        <v>8407.9</v>
      </c>
      <c r="I40">
        <f t="shared" ca="1" si="1"/>
        <v>0</v>
      </c>
      <c r="J40">
        <f t="shared" si="2"/>
        <v>5.1118889861232607E-2</v>
      </c>
      <c r="K40">
        <f ca="1">(I40-AVERAGE(I14:I72))^2*D40</f>
        <v>1.8978729614643523E-5</v>
      </c>
      <c r="L40">
        <f>(J40-AVERAGE(J14:J72))^2*D40</f>
        <v>1.4335021132131007E-3</v>
      </c>
      <c r="M40">
        <f ca="1">(I40-AVERAGE(I14:I72))*(J40-AVERAGE(J14:J72))*D40</f>
        <v>-1.6494256275652913E-4</v>
      </c>
    </row>
    <row r="41" spans="2:13" ht="17" customHeight="1">
      <c r="B41">
        <f t="shared" ca="1" si="0"/>
        <v>44958</v>
      </c>
      <c r="C41">
        <f t="shared" si="3"/>
        <v>29</v>
      </c>
      <c r="D41">
        <f>IF(C41&gt;$D4,0,1)</f>
        <v>1</v>
      </c>
      <c r="E41" cm="1" vm="25">
        <f t="array" aca="1" ref="E41" ca="1">INDEX(_xlfn.STOCKHISTORY('Statements Input'!$C$3,'Beta Calculation'!B41,,2,,1),2)</f>
        <v>110</v>
      </c>
      <c r="F41"/>
      <c r="G41">
        <v>1</v>
      </c>
      <c r="H41">
        <v>8369.7000000000007</v>
      </c>
      <c r="I41">
        <f t="shared" ca="1" si="1"/>
        <v>5.7692307692307696E-2</v>
      </c>
      <c r="J41">
        <f t="shared" si="2"/>
        <v>-4.5433461387503309E-3</v>
      </c>
      <c r="K41">
        <f ca="1">(I41-AVERAGE(I14:I72))^2*D41</f>
        <v>2.8447128218900305E-3</v>
      </c>
      <c r="L41">
        <f>(J41-AVERAGE(J14:J72))^2*D41</f>
        <v>3.1686200323343555E-4</v>
      </c>
      <c r="M41">
        <f ca="1">(I41-AVERAGE(I14:I72))*(J41-AVERAGE(J14:J72))*D41</f>
        <v>-9.4941108239156053E-4</v>
      </c>
    </row>
    <row r="42" spans="2:13" ht="17" customHeight="1">
      <c r="B42">
        <f t="shared" ca="1" si="0"/>
        <v>44986</v>
      </c>
      <c r="C42">
        <f t="shared" si="3"/>
        <v>30</v>
      </c>
      <c r="D42">
        <f>IF(C42&gt;$D4,0,1)</f>
        <v>1</v>
      </c>
      <c r="E42" cm="1" vm="26">
        <f t="array" aca="1" ref="E42" ca="1">INDEX(_xlfn.STOCKHISTORY('Statements Input'!$C$3,'Beta Calculation'!B42,,2,,1),2)</f>
        <v>107</v>
      </c>
      <c r="F42"/>
      <c r="G42">
        <v>1</v>
      </c>
      <c r="H42">
        <v>9098.1</v>
      </c>
      <c r="I42">
        <f t="shared" ca="1" si="1"/>
        <v>-2.7272727272727271E-2</v>
      </c>
      <c r="J42">
        <f t="shared" si="2"/>
        <v>8.7028208896376164E-2</v>
      </c>
      <c r="K42">
        <f ca="1">(I42-AVERAGE(I14:I72))^2*D42</f>
        <v>1.0004053850399596E-3</v>
      </c>
      <c r="L42">
        <f>(J42-AVERAGE(J14:J72))^2*D42</f>
        <v>5.4421511425385375E-3</v>
      </c>
      <c r="M42">
        <f ca="1">(I42-AVERAGE(I14:I72))*(J42-AVERAGE(J14:J72))*D42</f>
        <v>-2.3333146614198698E-3</v>
      </c>
    </row>
    <row r="43" spans="2:13" ht="17" customHeight="1">
      <c r="B43">
        <f t="shared" ca="1" si="0"/>
        <v>45017</v>
      </c>
      <c r="C43">
        <f t="shared" si="3"/>
        <v>31</v>
      </c>
      <c r="D43">
        <f>IF(C43&gt;$D4,0,1)</f>
        <v>1</v>
      </c>
      <c r="E43" cm="1" vm="26">
        <f t="array" aca="1" ref="E43" ca="1">INDEX(_xlfn.STOCKHISTORY('Statements Input'!$C$3,'Beta Calculation'!B43,,2,,1),2)</f>
        <v>107</v>
      </c>
      <c r="F43"/>
      <c r="G43">
        <v>1</v>
      </c>
      <c r="H43">
        <v>9322.9</v>
      </c>
      <c r="I43">
        <f t="shared" ca="1" si="1"/>
        <v>0</v>
      </c>
      <c r="J43">
        <f t="shared" si="2"/>
        <v>2.4708455611611134E-2</v>
      </c>
      <c r="K43">
        <f ca="1">(I43-AVERAGE(I14:I72))^2*D43</f>
        <v>1.8978729614643523E-5</v>
      </c>
      <c r="L43">
        <f>(J43-AVERAGE(J14:J72))^2*D43</f>
        <v>1.3112960796479974E-4</v>
      </c>
      <c r="M43">
        <f ca="1">(I43-AVERAGE(I14:I72))*(J43-AVERAGE(J14:J72))*D43</f>
        <v>-4.9886605156476026E-5</v>
      </c>
    </row>
    <row r="44" spans="2:13" ht="17" customHeight="1">
      <c r="B44">
        <f t="shared" ca="1" si="0"/>
        <v>45047</v>
      </c>
      <c r="C44">
        <f t="shared" si="3"/>
        <v>32</v>
      </c>
      <c r="D44">
        <f>IF(C44&gt;$D4,0,1)</f>
        <v>1</v>
      </c>
      <c r="E44" cm="1" vm="25">
        <f t="array" aca="1" ref="E44" ca="1">INDEX(_xlfn.STOCKHISTORY('Statements Input'!$C$3,'Beta Calculation'!B44,,2,,1),2)</f>
        <v>110</v>
      </c>
      <c r="F44"/>
      <c r="G44">
        <v>1</v>
      </c>
      <c r="H44">
        <v>9157.4</v>
      </c>
      <c r="I44">
        <f t="shared" ca="1" si="1"/>
        <v>2.8037383177570093E-2</v>
      </c>
      <c r="J44">
        <f t="shared" si="2"/>
        <v>-1.7751987042658401E-2</v>
      </c>
      <c r="K44">
        <f ca="1">(I44-AVERAGE(I14:I72))^2*D44</f>
        <v>5.6078619927919771E-4</v>
      </c>
      <c r="L44">
        <f>(J44-AVERAGE(J14:J72))^2*D44</f>
        <v>9.6157414134340224E-4</v>
      </c>
      <c r="M44">
        <f ca="1">(I44-AVERAGE(I14:I72))*(J44-AVERAGE(J14:J72))*D44</f>
        <v>-7.3432792950365482E-4</v>
      </c>
    </row>
    <row r="45" spans="2:13" ht="17" customHeight="1">
      <c r="B45">
        <f t="shared" ca="1" si="0"/>
        <v>45078</v>
      </c>
      <c r="C45">
        <f t="shared" si="3"/>
        <v>33</v>
      </c>
      <c r="D45">
        <f>IF(C45&gt;$D4,0,1)</f>
        <v>1</v>
      </c>
      <c r="E45" cm="1" vm="27">
        <f t="array" aca="1" ref="E45" ca="1">INDEX(_xlfn.STOCKHISTORY('Statements Input'!$C$3,'Beta Calculation'!B45,,2,,1),2)</f>
        <v>108</v>
      </c>
      <c r="F45"/>
      <c r="G45">
        <v>1</v>
      </c>
      <c r="H45">
        <v>9082</v>
      </c>
      <c r="I45">
        <f t="shared" ca="1" si="1"/>
        <v>-1.8181818181818181E-2</v>
      </c>
      <c r="J45">
        <f t="shared" si="2"/>
        <v>-8.2337781466354683E-3</v>
      </c>
      <c r="K45">
        <f ca="1">(I45-AVERAGE(I14:I72))^2*D45</f>
        <v>5.0797391036650722E-4</v>
      </c>
      <c r="L45">
        <f>(J45-AVERAGE(J14:J72))^2*D45</f>
        <v>4.6186523291825163E-4</v>
      </c>
      <c r="M45">
        <f ca="1">(I45-AVERAGE(I14:I72))*(J45-AVERAGE(J14:J72))*D45</f>
        <v>4.8437122997533819E-4</v>
      </c>
    </row>
    <row r="46" spans="2:13" ht="17" customHeight="1">
      <c r="B46">
        <f t="shared" ca="1" si="0"/>
        <v>45108</v>
      </c>
      <c r="C46">
        <f t="shared" si="3"/>
        <v>34</v>
      </c>
      <c r="D46">
        <f>IF(C46&gt;$D4,0,1)</f>
        <v>1</v>
      </c>
      <c r="E46" cm="1" vm="25">
        <f t="array" aca="1" ref="E46" ca="1">INDEX(_xlfn.STOCKHISTORY('Statements Input'!$C$3,'Beta Calculation'!B46,,2,,1),2)</f>
        <v>110</v>
      </c>
      <c r="F46"/>
      <c r="G46">
        <v>1</v>
      </c>
      <c r="H46">
        <v>9167.5</v>
      </c>
      <c r="I46">
        <f t="shared" ca="1" si="1"/>
        <v>1.8518518518518517E-2</v>
      </c>
      <c r="J46">
        <f t="shared" si="2"/>
        <v>9.4142259414225944E-3</v>
      </c>
      <c r="K46">
        <f ca="1">(I46-AVERAGE(I14:I72))^2*D46</f>
        <v>2.0056394737361005E-4</v>
      </c>
      <c r="L46">
        <f>(J46-AVERAGE(J14:J72))^2*D46</f>
        <v>1.4769002384808487E-5</v>
      </c>
      <c r="M46">
        <f ca="1">(I46-AVERAGE(I14:I72))*(J46-AVERAGE(J14:J72))*D46</f>
        <v>-5.4425448248658923E-5</v>
      </c>
    </row>
    <row r="47" spans="2:13" ht="17" customHeight="1">
      <c r="B47">
        <f t="shared" ca="1" si="0"/>
        <v>45139</v>
      </c>
      <c r="C47">
        <f t="shared" si="3"/>
        <v>35</v>
      </c>
      <c r="D47">
        <f>IF(C47&gt;$D4,0,1)</f>
        <v>1</v>
      </c>
      <c r="E47" cm="1" vm="28">
        <f t="array" aca="1" ref="E47" ca="1">INDEX(_xlfn.STOCKHISTORY('Statements Input'!$C$3,'Beta Calculation'!B47,,2,,1),2)</f>
        <v>109</v>
      </c>
      <c r="F47"/>
      <c r="G47">
        <v>1</v>
      </c>
      <c r="H47">
        <v>9644.7999999999993</v>
      </c>
      <c r="I47">
        <f t="shared" ca="1" si="1"/>
        <v>-9.0909090909090905E-3</v>
      </c>
      <c r="J47">
        <f t="shared" si="2"/>
        <v>5.2064357785655768E-2</v>
      </c>
      <c r="K47">
        <f ca="1">(I47-AVERAGE(I14:I72))^2*D47</f>
        <v>1.8083169189140184E-4</v>
      </c>
      <c r="L47">
        <f>(J47-AVERAGE(J14:J72))^2*D47</f>
        <v>1.5059899134717426E-3</v>
      </c>
      <c r="M47">
        <f ca="1">(I47-AVERAGE(I14:I72))*(J47-AVERAGE(J14:J72))*D47</f>
        <v>-5.2185314411669597E-4</v>
      </c>
    </row>
    <row r="48" spans="2:13" ht="17" customHeight="1">
      <c r="B48">
        <f t="shared" ca="1" si="0"/>
        <v>45170</v>
      </c>
      <c r="C48">
        <f t="shared" si="3"/>
        <v>36</v>
      </c>
      <c r="D48">
        <f>IF(C48&gt;$D4,0,1)</f>
        <v>1</v>
      </c>
      <c r="E48" cm="1" vm="29">
        <f t="array" aca="1" ref="E48" ca="1">INDEX(_xlfn.STOCKHISTORY('Statements Input'!$C$3,'Beta Calculation'!B48,,2,,1),2)</f>
        <v>108.5</v>
      </c>
      <c r="F48"/>
      <c r="G48">
        <v>1</v>
      </c>
      <c r="H48">
        <v>9502.9</v>
      </c>
      <c r="I48">
        <f t="shared" ca="1" si="1"/>
        <v>-4.5871559633027525E-3</v>
      </c>
      <c r="J48">
        <f t="shared" si="2"/>
        <v>-1.4712591240875875E-2</v>
      </c>
      <c r="K48">
        <f ca="1">(I48-AVERAGE(I14:I72))^2*D48</f>
        <v>7.9988237517565912E-5</v>
      </c>
      <c r="L48">
        <f>(J48-AVERAGE(J14:J72))^2*D48</f>
        <v>7.8231324517515554E-4</v>
      </c>
      <c r="M48">
        <f ca="1">(I48-AVERAGE(I14:I72))*(J48-AVERAGE(J14:J72))*D48</f>
        <v>2.5015166932924535E-4</v>
      </c>
    </row>
    <row r="49" spans="2:13" ht="17" customHeight="1">
      <c r="B49">
        <f t="shared" ca="1" si="0"/>
        <v>45200</v>
      </c>
      <c r="C49">
        <f t="shared" si="3"/>
        <v>37</v>
      </c>
      <c r="D49">
        <f>IF(C49&gt;$D4,0,1)</f>
        <v>1</v>
      </c>
      <c r="E49" cm="1" vm="30">
        <f t="array" aca="1" ref="E49" ca="1">INDEX(_xlfn.STOCKHISTORY('Statements Input'!$C$3,'Beta Calculation'!B49,,2,,1),2)</f>
        <v>101</v>
      </c>
      <c r="F49"/>
      <c r="G49">
        <v>1</v>
      </c>
      <c r="H49">
        <v>9449.6</v>
      </c>
      <c r="I49">
        <f t="shared" ca="1" si="1"/>
        <v>-6.9124423963133647E-2</v>
      </c>
      <c r="J49">
        <f t="shared" si="2"/>
        <v>-5.6088141514694751E-3</v>
      </c>
      <c r="K49">
        <f ca="1">(I49-AVERAGE(I14:I72))^2*D49</f>
        <v>5.399440069891231E-3</v>
      </c>
      <c r="L49">
        <f>(J49-AVERAGE(J14:J72))^2*D49</f>
        <v>3.5592920361362314E-4</v>
      </c>
      <c r="M49">
        <f ca="1">(I49-AVERAGE(I14:I72))*(J49-AVERAGE(J14:J72))*D49</f>
        <v>1.3862966508059779E-3</v>
      </c>
    </row>
    <row r="50" spans="2:13" ht="17" customHeight="1">
      <c r="B50">
        <f t="shared" ca="1" si="0"/>
        <v>45231</v>
      </c>
      <c r="C50">
        <f t="shared" si="3"/>
        <v>38</v>
      </c>
      <c r="D50">
        <f>IF(C50&gt;$D4,0,1)</f>
        <v>1</v>
      </c>
      <c r="E50" cm="1" vm="31">
        <f t="array" aca="1" ref="E50" ca="1">INDEX(_xlfn.STOCKHISTORY('Statements Input'!$C$3,'Beta Calculation'!B50,,2,,1),2)</f>
        <v>110.5</v>
      </c>
      <c r="F50"/>
      <c r="G50">
        <v>1</v>
      </c>
      <c r="H50">
        <v>9319</v>
      </c>
      <c r="I50">
        <f t="shared" ca="1" si="1"/>
        <v>9.405940594059406E-2</v>
      </c>
      <c r="J50">
        <f t="shared" si="2"/>
        <v>-1.3820690822892012E-2</v>
      </c>
      <c r="K50">
        <f ca="1">(I50-AVERAGE(I14:I72))^2*D50</f>
        <v>8.0466188011004622E-3</v>
      </c>
      <c r="L50">
        <f>(J50-AVERAGE(J14:J72))^2*D50</f>
        <v>7.3321606624448979E-4</v>
      </c>
      <c r="M50">
        <f ca="1">(I50-AVERAGE(I14:I72))*(J50-AVERAGE(J14:J72))*D50</f>
        <v>-2.4289730718786971E-3</v>
      </c>
    </row>
    <row r="51" spans="2:13" ht="17" customHeight="1">
      <c r="B51">
        <f t="shared" ca="1" si="0"/>
        <v>45261</v>
      </c>
      <c r="C51">
        <f t="shared" si="3"/>
        <v>39</v>
      </c>
      <c r="D51">
        <f>IF(C51&gt;$D4,0,1)</f>
        <v>1</v>
      </c>
      <c r="E51" cm="1" vm="32">
        <f t="array" aca="1" ref="E51" ca="1">INDEX(_xlfn.STOCKHISTORY('Statements Input'!$C$3,'Beta Calculation'!B51,,2,,1),2)</f>
        <v>117</v>
      </c>
      <c r="F51"/>
      <c r="G51">
        <v>1</v>
      </c>
      <c r="H51">
        <v>9075</v>
      </c>
      <c r="I51">
        <f t="shared" ca="1" si="1"/>
        <v>5.8823529411764705E-2</v>
      </c>
      <c r="J51">
        <f t="shared" si="2"/>
        <v>-2.6183066852666595E-2</v>
      </c>
      <c r="K51">
        <f ca="1">(I51-AVERAGE(I14:I72))^2*D51</f>
        <v>2.9666618268046657E-3</v>
      </c>
      <c r="L51">
        <f>(J51-AVERAGE(J14:J72))^2*D51</f>
        <v>1.5555403224139194E-3</v>
      </c>
      <c r="M51">
        <f ca="1">(I51-AVERAGE(I14:I72))*(J51-AVERAGE(J14:J72))*D51</f>
        <v>-2.1481997333955699E-3</v>
      </c>
    </row>
    <row r="52" spans="2:13" ht="17" customHeight="1">
      <c r="B52">
        <f t="shared" ca="1" si="0"/>
        <v>45292</v>
      </c>
      <c r="C52">
        <f t="shared" si="3"/>
        <v>40</v>
      </c>
      <c r="D52">
        <f>IF(C52&gt;$D4,0,1)</f>
        <v>1</v>
      </c>
      <c r="E52" cm="1" vm="15">
        <f t="array" aca="1" ref="E52" ca="1">INDEX(_xlfn.STOCKHISTORY('Statements Input'!$C$3,'Beta Calculation'!B52,,2,,1),2)</f>
        <v>126</v>
      </c>
      <c r="F52"/>
      <c r="G52">
        <v>1</v>
      </c>
      <c r="H52">
        <v>10140.799999999999</v>
      </c>
      <c r="I52">
        <f t="shared" ca="1" si="1"/>
        <v>7.6923076923076927E-2</v>
      </c>
      <c r="J52">
        <f t="shared" si="2"/>
        <v>0.11744352617079881</v>
      </c>
      <c r="K52">
        <f ca="1">(I52-AVERAGE(I14:I72))^2*D52</f>
        <v>5.2659141268102299E-3</v>
      </c>
      <c r="L52">
        <f>(J52-AVERAGE(J14:J72))^2*D52</f>
        <v>1.0854775575046639E-2</v>
      </c>
      <c r="M52">
        <f ca="1">(I52-AVERAGE(I14:I72))*(J52-AVERAGE(J14:J72))*D52</f>
        <v>7.5604441697556847E-3</v>
      </c>
    </row>
    <row r="53" spans="2:13" ht="17" customHeight="1">
      <c r="B53">
        <f t="shared" ca="1" si="0"/>
        <v>45323</v>
      </c>
      <c r="C53">
        <f t="shared" si="3"/>
        <v>41</v>
      </c>
      <c r="D53">
        <f>IF(C53&gt;$D4,0,1)</f>
        <v>1</v>
      </c>
      <c r="E53" cm="1" vm="33">
        <f t="array" aca="1" ref="E53" ca="1">INDEX(_xlfn.STOCKHISTORY('Statements Input'!$C$3,'Beta Calculation'!B53,,2,,1),2)</f>
        <v>123.5</v>
      </c>
      <c r="F53"/>
      <c r="G53">
        <v>1</v>
      </c>
      <c r="H53">
        <v>10182.1</v>
      </c>
      <c r="I53">
        <f t="shared" ca="1" si="1"/>
        <v>-1.984126984126984E-2</v>
      </c>
      <c r="J53">
        <f t="shared" si="2"/>
        <v>4.0726569895867286E-3</v>
      </c>
      <c r="K53">
        <f ca="1">(I53-AVERAGE(I14:I72))^2*D53</f>
        <v>5.8553005105917058E-4</v>
      </c>
      <c r="L53">
        <f>(J53-AVERAGE(J14:J72))^2*D53</f>
        <v>8.4357151399293918E-5</v>
      </c>
      <c r="M53">
        <f ca="1">(I53-AVERAGE(I14:I72))*(J53-AVERAGE(J14:J72))*D53</f>
        <v>2.22246815873782E-4</v>
      </c>
    </row>
    <row r="54" spans="2:13" ht="17" customHeight="1">
      <c r="B54">
        <f t="shared" ca="1" si="0"/>
        <v>45352</v>
      </c>
      <c r="C54">
        <f t="shared" si="3"/>
        <v>42</v>
      </c>
      <c r="D54">
        <f>IF(C54&gt;$D4,0,1)</f>
        <v>1</v>
      </c>
      <c r="E54" cm="1" vm="34">
        <f t="array" aca="1" ref="E54" ca="1">INDEX(_xlfn.STOCKHISTORY('Statements Input'!$C$3,'Beta Calculation'!B54,,2,,1),2)</f>
        <v>135</v>
      </c>
      <c r="F54"/>
      <c r="G54">
        <v>1</v>
      </c>
      <c r="H54">
        <v>10014</v>
      </c>
      <c r="I54">
        <f t="shared" ca="1" si="1"/>
        <v>9.3117408906882596E-2</v>
      </c>
      <c r="J54">
        <f t="shared" si="2"/>
        <v>-1.6509364472947659E-2</v>
      </c>
      <c r="K54">
        <f ca="1">(I54-AVERAGE(I14:I72))^2*D54</f>
        <v>7.878506338477035E-3</v>
      </c>
      <c r="L54">
        <f>(J54-AVERAGE(J14:J72))^2*D54</f>
        <v>8.8605264208294521E-4</v>
      </c>
      <c r="M54">
        <f ca="1">(I54-AVERAGE(I14:I72))*(J54-AVERAGE(J14:J72))*D54</f>
        <v>-2.6421149401331515E-3</v>
      </c>
    </row>
    <row r="55" spans="2:13" ht="17" customHeight="1">
      <c r="B55">
        <f t="shared" ca="1" si="0"/>
        <v>45383</v>
      </c>
      <c r="C55">
        <f t="shared" si="3"/>
        <v>43</v>
      </c>
      <c r="D55">
        <f>IF(C55&gt;$D4,0,1)</f>
        <v>1</v>
      </c>
      <c r="E55" cm="1" vm="35">
        <f t="array" aca="1" ref="E55" ca="1">INDEX(_xlfn.STOCKHISTORY('Statements Input'!$C$3,'Beta Calculation'!B55,,2,,1),2)</f>
        <v>145</v>
      </c>
      <c r="F55"/>
      <c r="G55">
        <v>1</v>
      </c>
      <c r="H55">
        <v>10064.700000000001</v>
      </c>
      <c r="I55">
        <f t="shared" ca="1" si="1"/>
        <v>7.407407407407407E-2</v>
      </c>
      <c r="J55">
        <f t="shared" si="2"/>
        <v>5.0629119233074425E-3</v>
      </c>
      <c r="K55">
        <f ca="1">(I55-AVERAGE(I14:I72))^2*D55</f>
        <v>4.8605459380990697E-3</v>
      </c>
      <c r="L55">
        <f>(J55-AVERAGE(J14:J72))^2*D55</f>
        <v>6.7147535736948076E-5</v>
      </c>
      <c r="M55">
        <f ca="1">(I55-AVERAGE(I14:I72))*(J55-AVERAGE(J14:J72))*D55</f>
        <v>-5.7129124103173952E-4</v>
      </c>
    </row>
    <row r="56" spans="2:13" ht="17" customHeight="1">
      <c r="B56">
        <f t="shared" ca="1" si="0"/>
        <v>45413</v>
      </c>
      <c r="C56">
        <f t="shared" si="3"/>
        <v>44</v>
      </c>
      <c r="D56">
        <f>IF(C56&gt;$D4,0,1)</f>
        <v>1</v>
      </c>
      <c r="E56" cm="1" vm="36">
        <f t="array" aca="1" ref="E56" ca="1">INDEX(_xlfn.STOCKHISTORY('Statements Input'!$C$3,'Beta Calculation'!B56,,2,,1),2)</f>
        <v>120.5</v>
      </c>
      <c r="F56"/>
      <c r="G56">
        <v>1</v>
      </c>
      <c r="H56">
        <v>10975.6</v>
      </c>
      <c r="I56">
        <f t="shared" ca="1" si="1"/>
        <v>-0.16896551724137931</v>
      </c>
      <c r="J56">
        <f t="shared" si="2"/>
        <v>9.0504436297157348E-2</v>
      </c>
      <c r="K56">
        <f ca="1">(I56-AVERAGE(I14:I72))^2*D56</f>
        <v>3.0040507233217297E-2</v>
      </c>
      <c r="L56">
        <f>(J56-AVERAGE(J14:J72))^2*D56</f>
        <v>5.9671244044854667E-3</v>
      </c>
      <c r="M56">
        <f ca="1">(I56-AVERAGE(I14:I72))*(J56-AVERAGE(J14:J72))*D56</f>
        <v>-1.3388631141175453E-2</v>
      </c>
    </row>
    <row r="57" spans="2:13" ht="17" customHeight="1">
      <c r="B57">
        <f t="shared" ca="1" si="0"/>
        <v>45444</v>
      </c>
      <c r="C57">
        <f t="shared" si="3"/>
        <v>45</v>
      </c>
      <c r="D57">
        <f>IF(C57&gt;$D4,0,1)</f>
        <v>1</v>
      </c>
      <c r="E57" cm="1" vm="37">
        <f t="array" aca="1" ref="E57" ca="1">INDEX(_xlfn.STOCKHISTORY('Statements Input'!$C$3,'Beta Calculation'!B57,,2,,1),2)</f>
        <v>119</v>
      </c>
      <c r="F57"/>
      <c r="G57">
        <v>1</v>
      </c>
      <c r="H57">
        <v>10872</v>
      </c>
      <c r="I57">
        <f t="shared" ca="1" si="1"/>
        <v>-1.2448132780082987E-2</v>
      </c>
      <c r="J57">
        <f t="shared" si="2"/>
        <v>-9.4391195014395905E-3</v>
      </c>
      <c r="K57">
        <f ca="1">(I57-AVERAGE(I14:I72))^2*D57</f>
        <v>2.8239428404971376E-4</v>
      </c>
      <c r="L57">
        <f>(J57-AVERAGE(J14:J72))^2*D57</f>
        <v>5.151261835041024E-4</v>
      </c>
      <c r="M57">
        <f ca="1">(I57-AVERAGE(I14:I72))*(J57-AVERAGE(J14:J72))*D57</f>
        <v>3.8140357862230718E-4</v>
      </c>
    </row>
    <row r="58" spans="2:13" ht="17" customHeight="1">
      <c r="B58">
        <f t="shared" ca="1" si="0"/>
        <v>45474</v>
      </c>
      <c r="C58">
        <f t="shared" si="3"/>
        <v>46</v>
      </c>
      <c r="D58">
        <f>IF(C58&gt;$D4,0,1)</f>
        <v>1</v>
      </c>
      <c r="E58" cm="1" vm="38">
        <f t="array" aca="1" ref="E58" ca="1">INDEX(_xlfn.STOCKHISTORY('Statements Input'!$C$3,'Beta Calculation'!B58,,2,,1),2)</f>
        <v>125</v>
      </c>
      <c r="F58"/>
      <c r="G58">
        <v>1</v>
      </c>
      <c r="H58">
        <v>11397.2</v>
      </c>
      <c r="I58">
        <f t="shared" ca="1" si="1"/>
        <v>5.0420168067226892E-2</v>
      </c>
      <c r="J58">
        <f t="shared" si="2"/>
        <v>4.8307579102281159E-2</v>
      </c>
      <c r="K58">
        <f ca="1">(I58-AVERAGE(I14:I72))^2*D58</f>
        <v>2.1218653501705715E-3</v>
      </c>
      <c r="L58">
        <f>(J58-AVERAGE(J14:J72))^2*D58</f>
        <v>1.2285240336511757E-3</v>
      </c>
      <c r="M58">
        <f ca="1">(I58-AVERAGE(I14:I72))*(J58-AVERAGE(J14:J72))*D58</f>
        <v>1.6145471745527336E-3</v>
      </c>
    </row>
    <row r="59" spans="2:13" ht="17" customHeight="1">
      <c r="B59">
        <f t="shared" ca="1" si="0"/>
        <v>45505</v>
      </c>
      <c r="C59">
        <f t="shared" si="3"/>
        <v>47</v>
      </c>
      <c r="D59">
        <f>IF(C59&gt;$D4,0,1)</f>
        <v>1</v>
      </c>
      <c r="E59" cm="1" vm="39">
        <f t="array" aca="1" ref="E59" ca="1">INDEX(_xlfn.STOCKHISTORY('Statements Input'!$C$3,'Beta Calculation'!B59,,2,,1),2)</f>
        <v>116.5</v>
      </c>
      <c r="F59"/>
      <c r="G59">
        <v>1</v>
      </c>
      <c r="H59">
        <v>11057</v>
      </c>
      <c r="I59">
        <f t="shared" ca="1" si="1"/>
        <v>-6.8000000000000005E-2</v>
      </c>
      <c r="J59">
        <f t="shared" si="2"/>
        <v>-2.9849436703751859E-2</v>
      </c>
      <c r="K59">
        <f ca="1">(I59-AVERAGE(I14:I72))^2*D59</f>
        <v>5.2354570692629771E-3</v>
      </c>
      <c r="L59">
        <f>(J59-AVERAGE(J14:J72))^2*D59</f>
        <v>1.8581883282760008E-3</v>
      </c>
      <c r="M59">
        <f ca="1">(I59-AVERAGE(I14:I72))*(J59-AVERAGE(J14:J72))*D59</f>
        <v>3.119048768341807E-3</v>
      </c>
    </row>
    <row r="60" spans="2:13" ht="17" customHeight="1">
      <c r="B60">
        <f t="shared" ca="1" si="0"/>
        <v>45536</v>
      </c>
      <c r="C60">
        <f t="shared" si="3"/>
        <v>48</v>
      </c>
      <c r="D60">
        <f>IF(C60&gt;$D4,0,1)</f>
        <v>1</v>
      </c>
      <c r="E60" cm="1" vm="31">
        <f t="array" aca="1" ref="E60" ca="1">INDEX(_xlfn.STOCKHISTORY('Statements Input'!$C$3,'Beta Calculation'!B60,,2,,1),2)</f>
        <v>110.5</v>
      </c>
      <c r="F60"/>
      <c r="G60">
        <v>1</v>
      </c>
      <c r="H60">
        <v>10854.3</v>
      </c>
      <c r="I60">
        <f t="shared" ca="1" si="1"/>
        <v>-5.1502145922746781E-2</v>
      </c>
      <c r="J60">
        <f t="shared" si="2"/>
        <v>-1.8332278194808784E-2</v>
      </c>
      <c r="K60">
        <f ca="1">(I60-AVERAGE(I14:I72))^2*D60</f>
        <v>3.1201836746248294E-3</v>
      </c>
      <c r="L60">
        <f>(J60-AVERAGE(J14:J72))^2*D60</f>
        <v>9.9789967638490122E-4</v>
      </c>
      <c r="M60">
        <f ca="1">(I60-AVERAGE(I14:I72))*(J60-AVERAGE(J14:J72))*D60</f>
        <v>1.7645481798946633E-3</v>
      </c>
    </row>
    <row r="61" spans="2:13" ht="17" customHeight="1">
      <c r="B61">
        <f t="shared" ca="1" si="0"/>
        <v>45566</v>
      </c>
      <c r="C61">
        <f t="shared" si="3"/>
        <v>49</v>
      </c>
      <c r="D61">
        <f>IF(C61&gt;$D4,0,1)</f>
        <v>1</v>
      </c>
      <c r="E61" cm="1" vm="9">
        <f t="array" aca="1" ref="E61" ca="1">INDEX(_xlfn.STOCKHISTORY('Statements Input'!$C$3,'Beta Calculation'!B61,,2,,1),2)</f>
        <v>112</v>
      </c>
      <c r="F61"/>
      <c r="G61">
        <v>1</v>
      </c>
      <c r="H61">
        <v>11395.3</v>
      </c>
      <c r="I61">
        <f t="shared" ca="1" si="1"/>
        <v>1.3574660633484163E-2</v>
      </c>
      <c r="J61">
        <f t="shared" si="2"/>
        <v>4.9841998102134639E-2</v>
      </c>
      <c r="K61">
        <f ca="1">(I61-AVERAGE(I14:I72))^2*D61</f>
        <v>8.4975252790433191E-5</v>
      </c>
      <c r="L61">
        <f>(J61-AVERAGE(J14:J72))^2*D61</f>
        <v>1.3384421899041272E-3</v>
      </c>
      <c r="M61">
        <f ca="1">(I61-AVERAGE(I14:I72))*(J61-AVERAGE(J14:J72))*D61</f>
        <v>3.3724540535414886E-4</v>
      </c>
    </row>
    <row r="62" spans="2:13" ht="17" customHeight="1">
      <c r="B62">
        <f t="shared" ca="1" si="0"/>
        <v>45597</v>
      </c>
      <c r="C62">
        <f t="shared" si="3"/>
        <v>50</v>
      </c>
      <c r="D62">
        <f>IF(C62&gt;$D4,0,1)</f>
        <v>1</v>
      </c>
      <c r="E62" cm="1" vm="23">
        <f t="array" aca="1" ref="E62" ca="1">INDEX(_xlfn.STOCKHISTORY('Statements Input'!$C$3,'Beta Calculation'!B62,,2,,1),2)</f>
        <v>105</v>
      </c>
      <c r="F62"/>
      <c r="G62">
        <v>1</v>
      </c>
      <c r="H62">
        <v>11673.5</v>
      </c>
      <c r="I62">
        <f t="shared" ca="1" si="1"/>
        <v>-6.25E-2</v>
      </c>
      <c r="J62">
        <f t="shared" si="2"/>
        <v>2.4413574017358098E-2</v>
      </c>
      <c r="K62">
        <f ca="1">(I62-AVERAGE(I14:I72))^2*D62</f>
        <v>4.4697860270855377E-3</v>
      </c>
      <c r="L62">
        <f>(J62-AVERAGE(J14:J72))^2*D62</f>
        <v>1.2446307651263182E-4</v>
      </c>
      <c r="M62">
        <f ca="1">(I62-AVERAGE(I14:I72))*(J62-AVERAGE(J14:J72))*D62</f>
        <v>-7.4587084691938449E-4</v>
      </c>
    </row>
    <row r="63" spans="2:13" ht="17" customHeight="1">
      <c r="B63">
        <f t="shared" ca="1" si="0"/>
        <v>45627</v>
      </c>
      <c r="C63">
        <f t="shared" si="3"/>
        <v>51</v>
      </c>
      <c r="D63">
        <f>IF(C63&gt;$D4,0,1)</f>
        <v>1</v>
      </c>
      <c r="E63" cm="1" vm="40">
        <f t="array" aca="1" ref="E63" ca="1">INDEX(_xlfn.STOCKHISTORY('Statements Input'!$C$3,'Beta Calculation'!B63,,2,,1),2)</f>
        <v>107.5</v>
      </c>
      <c r="F63"/>
      <c r="G63">
        <v>1</v>
      </c>
      <c r="H63">
        <v>11843</v>
      </c>
      <c r="I63">
        <f t="shared" ca="1" si="1"/>
        <v>2.3809523809523808E-2</v>
      </c>
      <c r="J63">
        <f t="shared" si="2"/>
        <v>1.4520066818006596E-2</v>
      </c>
      <c r="K63">
        <f ca="1">(I63-AVERAGE(I14:I72))^2*D63</f>
        <v>3.784217546143931E-4</v>
      </c>
      <c r="L63">
        <f>(J63-AVERAGE(J14:J72))^2*D63</f>
        <v>1.5946509572742998E-6</v>
      </c>
      <c r="M63">
        <f ca="1">(I63-AVERAGE(I14:I72))*(J63-AVERAGE(J14:J72))*D63</f>
        <v>2.4565231797181604E-5</v>
      </c>
    </row>
    <row r="64" spans="2:13" ht="17" customHeight="1">
      <c r="B64">
        <f t="shared" ca="1" si="0"/>
        <v>45658</v>
      </c>
      <c r="C64">
        <f t="shared" si="3"/>
        <v>52</v>
      </c>
      <c r="D64">
        <f>IF(C64&gt;$D4,0,1)</f>
        <v>1</v>
      </c>
      <c r="E64" cm="1" vm="28">
        <f t="array" aca="1" ref="E64" ca="1">INDEX(_xlfn.STOCKHISTORY('Statements Input'!$C$3,'Beta Calculation'!B64,,2,,1),2)</f>
        <v>109</v>
      </c>
      <c r="F64"/>
      <c r="G64">
        <v>1</v>
      </c>
      <c r="H64">
        <v>11735.3</v>
      </c>
      <c r="I64">
        <f t="shared" ca="1" si="1"/>
        <v>1.3953488372093023E-2</v>
      </c>
      <c r="J64">
        <f t="shared" si="2"/>
        <v>-9.0939795659884092E-3</v>
      </c>
      <c r="K64">
        <f ca="1">(I64-AVERAGE(I14:I72))^2*D64</f>
        <v>9.2102984673602103E-5</v>
      </c>
      <c r="L64">
        <f>(J64-AVERAGE(J14:J72))^2*D64</f>
        <v>4.995784429395818E-4</v>
      </c>
      <c r="M64">
        <f ca="1">(I64-AVERAGE(I14:I72))*(J64-AVERAGE(J14:J72))*D64</f>
        <v>-2.1450563086624627E-4</v>
      </c>
    </row>
    <row r="65" spans="2:13" ht="17" customHeight="1">
      <c r="B65">
        <f t="shared" ca="1" si="0"/>
        <v>45689</v>
      </c>
      <c r="C65">
        <f t="shared" si="3"/>
        <v>53</v>
      </c>
      <c r="D65">
        <f>IF(C65&gt;$D4,0,1)</f>
        <v>1</v>
      </c>
      <c r="E65" cm="1" vm="41">
        <f t="array" aca="1" ref="E65" ca="1">INDEX(_xlfn.STOCKHISTORY('Statements Input'!$C$3,'Beta Calculation'!B65,,2,,1),2)</f>
        <v>103.5</v>
      </c>
      <c r="F65"/>
      <c r="G65">
        <v>1</v>
      </c>
      <c r="H65">
        <v>11676.9</v>
      </c>
      <c r="I65">
        <f t="shared" ca="1" si="1"/>
        <v>-5.0458715596330278E-2</v>
      </c>
      <c r="J65">
        <f t="shared" si="2"/>
        <v>-4.9764386083014185E-3</v>
      </c>
      <c r="K65">
        <f ca="1">(I65-AVERAGE(I14:I72))^2*D65</f>
        <v>3.00470329802983E-3</v>
      </c>
      <c r="L65">
        <f>(J65-AVERAGE(J14:J72))^2*D65</f>
        <v>3.3246819958884219E-4</v>
      </c>
      <c r="M65">
        <f ca="1">(I65-AVERAGE(I14:I72))*(J65-AVERAGE(J14:J72))*D65</f>
        <v>9.9948401477694174E-4</v>
      </c>
    </row>
    <row r="66" spans="2:13" ht="17" customHeight="1">
      <c r="B66">
        <f t="shared" ca="1" si="0"/>
        <v>45717</v>
      </c>
      <c r="C66">
        <f t="shared" si="3"/>
        <v>54</v>
      </c>
      <c r="D66">
        <f>IF(C66&gt;$D4,0,1)</f>
        <v>1</v>
      </c>
      <c r="E66" cm="1" vm="30">
        <f t="array" aca="1" ref="E66" ca="1">INDEX(_xlfn.STOCKHISTORY('Statements Input'!$C$3,'Beta Calculation'!B66,,2,,1),2)</f>
        <v>101</v>
      </c>
      <c r="F66"/>
      <c r="G66">
        <v>1</v>
      </c>
      <c r="H66">
        <v>12205.8</v>
      </c>
      <c r="I66">
        <f t="shared" ca="1" si="1"/>
        <v>-2.4154589371980676E-2</v>
      </c>
      <c r="J66">
        <f t="shared" si="2"/>
        <v>4.529455591809467E-2</v>
      </c>
      <c r="K66">
        <f ca="1">(I66-AVERAGE(I14:I72))^2*D66</f>
        <v>8.128798439024455E-4</v>
      </c>
      <c r="L66">
        <f>(J66-AVERAGE(J14:J72))^2*D66</f>
        <v>1.0263875660466955E-3</v>
      </c>
      <c r="M66">
        <f ca="1">(I66-AVERAGE(I14:I72))*(J66-AVERAGE(J14:J72))*D66</f>
        <v>-9.1341653393807627E-4</v>
      </c>
    </row>
    <row r="67" spans="2:13" ht="17" customHeight="1">
      <c r="B67">
        <f t="shared" ca="1" si="0"/>
        <v>45748</v>
      </c>
      <c r="C67">
        <f t="shared" si="3"/>
        <v>55</v>
      </c>
      <c r="D67">
        <f>IF(C67&gt;$D4,0,1)</f>
        <v>1</v>
      </c>
      <c r="E67" cm="1" vm="41">
        <f t="array" aca="1" ref="E67" ca="1">INDEX(_xlfn.STOCKHISTORY('Statements Input'!$C$3,'Beta Calculation'!B67,,2,,1),2)</f>
        <v>103.5</v>
      </c>
      <c r="F67"/>
      <c r="G67">
        <v>1</v>
      </c>
      <c r="H67">
        <v>13373.1</v>
      </c>
      <c r="I67">
        <f t="shared" ca="1" si="1"/>
        <v>2.4752475247524754E-2</v>
      </c>
      <c r="J67">
        <f t="shared" si="2"/>
        <v>9.5634862114732433E-2</v>
      </c>
      <c r="K67">
        <f ca="1">(I67-AVERAGE(I14:I72))^2*D67</f>
        <v>4.1599750406985219E-4</v>
      </c>
      <c r="L67">
        <f>(J67-AVERAGE(J14:J72))^2*D67</f>
        <v>6.7860673664767264E-3</v>
      </c>
      <c r="M67">
        <f ca="1">(I67-AVERAGE(I14:I72))*(J67-AVERAGE(J14:J72))*D67</f>
        <v>1.680174719159943E-3</v>
      </c>
    </row>
    <row r="68" spans="2:13" ht="17" customHeight="1">
      <c r="B68">
        <f t="shared" ca="1" si="0"/>
        <v>45778</v>
      </c>
      <c r="C68">
        <f t="shared" si="3"/>
        <v>56</v>
      </c>
      <c r="D68">
        <f>IF(C68&gt;$D4,0,1)</f>
        <v>1</v>
      </c>
      <c r="E68" cm="1" vm="32">
        <f t="array" aca="1" ref="E68" ca="1">INDEX(_xlfn.STOCKHISTORY('Statements Input'!$C$3,'Beta Calculation'!B68,,2,,1),2)</f>
        <v>117</v>
      </c>
      <c r="F68"/>
      <c r="G68">
        <v>1</v>
      </c>
      <c r="H68">
        <v>13297</v>
      </c>
      <c r="I68">
        <f t="shared" ca="1" si="1"/>
        <v>0.13043478260869565</v>
      </c>
      <c r="J68">
        <f t="shared" si="2"/>
        <v>-5.6905280002393132E-3</v>
      </c>
      <c r="K68">
        <f ca="1">(I68-AVERAGE(I14:I72))^2*D68</f>
        <v>1.5895743840374815E-2</v>
      </c>
      <c r="L68">
        <f>(J68-AVERAGE(J14:J72))^2*D68</f>
        <v>3.5901912177476554E-4</v>
      </c>
      <c r="M68">
        <f ca="1">(I68-AVERAGE(I14:I72))*(J68-AVERAGE(J14:J72))*D68</f>
        <v>-2.3889068616268832E-3</v>
      </c>
    </row>
    <row r="69" spans="2:13" ht="18" customHeight="1">
      <c r="B69">
        <f t="shared" ca="1" si="0"/>
        <v>45809</v>
      </c>
      <c r="C69">
        <f t="shared" si="3"/>
        <v>57</v>
      </c>
      <c r="D69">
        <f>IF(C69&gt;$D4,0,1)</f>
        <v>1</v>
      </c>
      <c r="E69" cm="1" vm="42">
        <f t="array" aca="1" ref="E69" ca="1">INDEX(_xlfn.STOCKHISTORY('Statements Input'!$C$3,'Beta Calculation'!B69,,2,,1),2)</f>
        <v>118</v>
      </c>
      <c r="F69"/>
      <c r="G69">
        <v>1</v>
      </c>
      <c r="H69">
        <v>13446.7</v>
      </c>
      <c r="I69">
        <f t="shared" ca="1" si="1"/>
        <v>8.5470085470085479E-3</v>
      </c>
      <c r="J69">
        <f t="shared" si="2"/>
        <v>1.1258178536512051E-2</v>
      </c>
      <c r="K69">
        <f ca="1">(I69-AVERAGE(I14:I72))^2*D69</f>
        <v>1.7560710704166807E-5</v>
      </c>
      <c r="L69">
        <f>(J69-AVERAGE(J14:J72))^2*D69</f>
        <v>3.9963743514049294E-6</v>
      </c>
      <c r="M69">
        <f ca="1">(I69-AVERAGE(I14:I72))*(J69-AVERAGE(J14:J72))*D69</f>
        <v>-8.3773011077896822E-6</v>
      </c>
    </row>
    <row r="70" spans="2:13" ht="18" customHeight="1">
      <c r="B70">
        <f t="shared" ca="1" si="0"/>
        <v>45839</v>
      </c>
      <c r="C70">
        <f t="shared" si="3"/>
        <v>58</v>
      </c>
      <c r="D70">
        <f>IF(C70&gt;$D4,0,1)</f>
        <v>1</v>
      </c>
      <c r="E70" cm="1" vm="43">
        <f t="array" aca="1" ref="E70" ca="1">INDEX(_xlfn.STOCKHISTORY('Statements Input'!$C$3,'Beta Calculation'!B70,,2,,1),2)</f>
        <v>99.4</v>
      </c>
      <c r="F70"/>
      <c r="G70">
        <v>1</v>
      </c>
      <c r="H70">
        <v>14202.8</v>
      </c>
      <c r="I70">
        <f t="shared" ca="1" si="1"/>
        <v>-0.15762711864406775</v>
      </c>
      <c r="J70">
        <f t="shared" si="2"/>
        <v>5.6229409446183709E-2</v>
      </c>
      <c r="K70">
        <f ca="1">(I70-AVERAGE(I14:I72))^2*D70</f>
        <v>2.623867922543666E-2</v>
      </c>
      <c r="L70">
        <f>(J70-AVERAGE(J14:J72))^2*D70</f>
        <v>1.8466046036659854E-3</v>
      </c>
      <c r="M70">
        <f ca="1">(I70-AVERAGE(I14:I72))*(J70-AVERAGE(J14:J72))*D70</f>
        <v>-6.9607805490337358E-3</v>
      </c>
    </row>
    <row r="71" spans="2:13" ht="18" customHeight="1">
      <c r="B71">
        <f t="shared" ca="1" si="0"/>
        <v>45870</v>
      </c>
      <c r="C71">
        <f t="shared" si="3"/>
        <v>59</v>
      </c>
      <c r="D71">
        <f>IF(C71&gt;$D4,0,1)</f>
        <v>1</v>
      </c>
      <c r="E71" cm="1" vm="44">
        <f t="array" aca="1" ref="E71" ca="1">INDEX(_xlfn.STOCKHISTORY('Statements Input'!$C$3,'Beta Calculation'!B71,,2,,1),2)</f>
        <v>95</v>
      </c>
      <c r="F71"/>
      <c r="G71">
        <v>1</v>
      </c>
      <c r="H71">
        <v>13987.4</v>
      </c>
      <c r="I71">
        <f t="shared" ca="1" si="1"/>
        <v>-4.4265593561368263E-2</v>
      </c>
      <c r="J71">
        <f t="shared" si="2"/>
        <v>-1.5166023600980063E-2</v>
      </c>
      <c r="K71">
        <f ca="1">(I71-AVERAGE(I14:I72))^2*D71</f>
        <v>2.3641039349664712E-3</v>
      </c>
      <c r="L71">
        <f>(J71-AVERAGE(J14:J72))^2*D71</f>
        <v>8.0788372820897859E-4</v>
      </c>
      <c r="M71">
        <f ca="1">(I71-AVERAGE(I14:I72))*(J71-AVERAGE(J14:J72))*D71</f>
        <v>1.3819989511046054E-3</v>
      </c>
    </row>
    <row r="72" spans="2:13" ht="18" customHeight="1">
      <c r="B72">
        <f t="shared" ca="1" si="0"/>
        <v>45901</v>
      </c>
      <c r="C72">
        <f t="shared" si="3"/>
        <v>60</v>
      </c>
      <c r="D72">
        <f>IF(C72&gt;$D4,0,1)</f>
        <v>1</v>
      </c>
      <c r="E72" cm="1" vm="5">
        <f t="array" aca="1" ref="E72" ca="1">INDEX(_xlfn.STOCKHISTORY('Statements Input'!$C$3,'Beta Calculation'!B72,,2,,1),2)</f>
        <v>91.8</v>
      </c>
      <c r="F72"/>
      <c r="G72">
        <v>1</v>
      </c>
      <c r="H72">
        <v>14126.7</v>
      </c>
      <c r="I72">
        <f t="shared" ca="1" si="1"/>
        <v>-3.3684210526315816E-2</v>
      </c>
      <c r="J72">
        <f t="shared" si="2"/>
        <v>9.9589630667601629E-3</v>
      </c>
      <c r="K72">
        <f ca="1">(I72-AVERAGE(I14:I72))^2*D72</f>
        <v>1.4470924908222284E-3</v>
      </c>
      <c r="L72">
        <f>(J72-AVERAGE(J14:J72))^2*D72</f>
        <v>1.0878841283935121E-5</v>
      </c>
      <c r="M72">
        <f ca="1">(I72-AVERAGE(I14:I72))*(J72-AVERAGE(J14:J72))*D72</f>
        <v>1.2546987499328021E-4</v>
      </c>
    </row>
    <row r="73" spans="2:13" ht="18" customHeight="1"/>
    <row r="74" spans="2:13" ht="18" customHeight="1"/>
    <row r="75" spans="2:13" ht="18" customHeight="1"/>
    <row r="76" spans="2:13" ht="18" customHeight="1"/>
    <row r="77" spans="2:13" ht="18" customHeight="1"/>
    <row r="78" spans="2:13" ht="18" customHeight="1"/>
    <row r="79" spans="2:13" ht="18" customHeight="1"/>
    <row r="80" spans="2:13" ht="18" customHeight="1"/>
    <row r="81" ht="18" customHeight="1"/>
    <row r="82" ht="18" customHeight="1"/>
    <row r="83" ht="18" customHeight="1"/>
    <row r="84" ht="18" customHeight="1"/>
    <row r="85" ht="18" customHeight="1"/>
    <row r="86" ht="18" customHeight="1"/>
    <row r="87" ht="18" customHeight="1"/>
    <row r="88" ht="18" customHeight="1"/>
    <row r="89" ht="18" customHeight="1"/>
    <row r="90" ht="18" customHeight="1"/>
    <row r="91" ht="18" customHeight="1"/>
    <row r="92" ht="18" customHeight="1"/>
    <row r="93" ht="18" customHeight="1"/>
    <row r="94" ht="18" customHeight="1"/>
    <row r="95" ht="18" customHeight="1"/>
    <row r="96" ht="18" customHeight="1"/>
    <row r="97" ht="18" customHeight="1"/>
    <row r="98" ht="18" customHeight="1"/>
    <row r="99" ht="18" customHeight="1"/>
    <row r="100" ht="19" customHeight="1"/>
    <row r="101" ht="19" customHeight="1"/>
    <row r="102" ht="19" customHeight="1"/>
    <row r="103" ht="19" customHeight="1"/>
    <row r="104" ht="19" customHeight="1"/>
    <row r="105" ht="19" customHeight="1"/>
    <row r="106" ht="19" customHeight="1"/>
    <row r="107" ht="19" customHeight="1"/>
    <row r="108" ht="19" customHeight="1"/>
    <row r="109" ht="19" customHeight="1"/>
  </sheetData>
  <mergeCells count="2">
    <mergeCell ref="A1:XFD1"/>
    <mergeCell ref="B4:C4"/>
  </mergeCells>
  <pageMargins left="0.75" right="0.75" top="1" bottom="1" header="0.5" footer="0.5"/>
  <pageSetup orientation="landscape"/>
  <headerFooter>
    <oddFooter>&amp;C&amp;"Helvetica Neue,Regular"&amp;12&amp;K000000&amp;P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Statements Input</vt:lpstr>
      <vt:lpstr>Scenario Summary</vt:lpstr>
      <vt:lpstr>DFCFF</vt:lpstr>
      <vt:lpstr>Risk</vt:lpstr>
      <vt:lpstr>Beta Calculation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Franco Gianotti</dc:creator>
  <cp:lastModifiedBy>Franco Gianotti</cp:lastModifiedBy>
  <dcterms:created xsi:type="dcterms:W3CDTF">2025-09-10T05:51:39Z</dcterms:created>
  <dcterms:modified xsi:type="dcterms:W3CDTF">2025-10-07T20:01:42Z</dcterms:modified>
</cp:coreProperties>
</file>