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24"/>
  <workbookPr/>
  <mc:AlternateContent xmlns:mc="http://schemas.openxmlformats.org/markup-compatibility/2006">
    <mc:Choice Requires="x15">
      <x15ac:absPath xmlns:x15ac="http://schemas.microsoft.com/office/spreadsheetml/2010/11/ac" url="/Users/francogianotti/Dropbox/Inversiones/Analisis de empresas/Nomad Foods/"/>
    </mc:Choice>
  </mc:AlternateContent>
  <xr:revisionPtr revIDLastSave="0" documentId="13_ncr:1_{A163A48B-1868-654F-95A1-08F8EEDBE916}" xr6:coauthVersionLast="47" xr6:coauthVersionMax="47" xr10:uidLastSave="{00000000-0000-0000-0000-000000000000}"/>
  <bookViews>
    <workbookView xWindow="0" yWindow="760" windowWidth="34560" windowHeight="19840" activeTab="2" xr2:uid="{299D3419-ED00-924A-9F09-5FB5F85CC5D2}"/>
  </bookViews>
  <sheets>
    <sheet name="Data" sheetId="1" r:id="rId1"/>
    <sheet name="WACC" sheetId="6" r:id="rId2"/>
    <sheet name="DFCF" sheetId="4" r:id="rId3"/>
  </sheets>
  <definedNames>
    <definedName name="Cost_of_Capital">DFCF!$C$9</definedName>
    <definedName name="Cost_of_Debt">DFCF!$C$6</definedName>
    <definedName name="Cost_of_Equity">DFCF!$C$8</definedName>
    <definedName name="Equity_Risk_Premium">DFCF!$C$5</definedName>
    <definedName name="Marginal_Tax_Rate">Data!$C$5</definedName>
    <definedName name="Risk_Free_Rate">DFCF!$C$4</definedName>
  </definedName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41" i="1" l="1"/>
  <c r="H139" i="1"/>
  <c r="H138" i="1"/>
  <c r="G138" i="1"/>
  <c r="M50" i="1"/>
  <c r="L50" i="1"/>
  <c r="K50" i="1"/>
  <c r="J50" i="1"/>
  <c r="I50" i="1"/>
  <c r="I32" i="1"/>
  <c r="I33" i="1"/>
  <c r="I34" i="1"/>
  <c r="I36" i="1"/>
  <c r="J32" i="1"/>
  <c r="K32" i="1" s="1"/>
  <c r="J33" i="1"/>
  <c r="K33" i="1" s="1"/>
  <c r="L33" i="1" s="1"/>
  <c r="M33" i="1" s="1"/>
  <c r="J34" i="1"/>
  <c r="K34" i="1" s="1"/>
  <c r="L34" i="1" s="1"/>
  <c r="M34" i="1" s="1"/>
  <c r="J36" i="1"/>
  <c r="K36" i="1"/>
  <c r="L36" i="1"/>
  <c r="M36" i="1"/>
  <c r="H187" i="1"/>
  <c r="H188" i="1"/>
  <c r="H190" i="1"/>
  <c r="H191" i="1"/>
  <c r="H193" i="1"/>
  <c r="H179" i="1"/>
  <c r="I173" i="1"/>
  <c r="H173" i="1"/>
  <c r="H171" i="1"/>
  <c r="I171" i="1"/>
  <c r="J171" i="1" s="1"/>
  <c r="K169" i="1"/>
  <c r="L169" i="1" s="1"/>
  <c r="M169" i="1" s="1"/>
  <c r="J169" i="1"/>
  <c r="I169" i="1"/>
  <c r="H169" i="1"/>
  <c r="H167" i="1"/>
  <c r="H148" i="1"/>
  <c r="H149" i="1"/>
  <c r="H152" i="1"/>
  <c r="H153" i="1"/>
  <c r="H154" i="1"/>
  <c r="H157" i="1"/>
  <c r="H158" i="1"/>
  <c r="H159" i="1"/>
  <c r="H162" i="1"/>
  <c r="H163" i="1"/>
  <c r="H164" i="1"/>
  <c r="H145" i="1"/>
  <c r="H132" i="1"/>
  <c r="H131" i="1"/>
  <c r="H135" i="1"/>
  <c r="H134" i="1" s="1"/>
  <c r="I126" i="1"/>
  <c r="I116" i="1"/>
  <c r="I115" i="1"/>
  <c r="H115" i="1"/>
  <c r="H112" i="1"/>
  <c r="I107" i="1"/>
  <c r="I105" i="1"/>
  <c r="I103" i="1"/>
  <c r="I101" i="1"/>
  <c r="H101" i="1"/>
  <c r="H103" i="1"/>
  <c r="H105" i="1"/>
  <c r="H107" i="1"/>
  <c r="H109" i="1"/>
  <c r="H98" i="1"/>
  <c r="H96" i="1"/>
  <c r="H94" i="1"/>
  <c r="H92" i="1"/>
  <c r="I9" i="1"/>
  <c r="I14" i="1" s="1"/>
  <c r="I86" i="1"/>
  <c r="H87" i="1"/>
  <c r="H86" i="1"/>
  <c r="H83" i="1"/>
  <c r="H80" i="1"/>
  <c r="H79" i="1"/>
  <c r="H76" i="1"/>
  <c r="H75" i="1"/>
  <c r="H74" i="1"/>
  <c r="H72" i="1"/>
  <c r="H85" i="1" s="1"/>
  <c r="H68" i="1"/>
  <c r="H65" i="1"/>
  <c r="H63" i="1"/>
  <c r="H61" i="1"/>
  <c r="H60" i="1"/>
  <c r="H59" i="1"/>
  <c r="H58" i="1"/>
  <c r="H57" i="1"/>
  <c r="H56" i="1"/>
  <c r="H47" i="1"/>
  <c r="H45" i="1"/>
  <c r="H48" i="1" s="1"/>
  <c r="H52" i="1" s="1"/>
  <c r="H46" i="1"/>
  <c r="H35" i="1"/>
  <c r="H40" i="1" s="1"/>
  <c r="H36" i="1"/>
  <c r="H27" i="1"/>
  <c r="H25" i="1"/>
  <c r="H23" i="1"/>
  <c r="H21" i="1"/>
  <c r="H20" i="1"/>
  <c r="H18" i="1"/>
  <c r="H16" i="1"/>
  <c r="H15" i="1"/>
  <c r="H14" i="1"/>
  <c r="H12" i="1"/>
  <c r="H10" i="1"/>
  <c r="H9" i="1"/>
  <c r="I16" i="4"/>
  <c r="B69" i="4"/>
  <c r="B70" i="4" s="1"/>
  <c r="B71" i="4" s="1"/>
  <c r="B72" i="4" s="1"/>
  <c r="B73" i="4" s="1"/>
  <c r="B74" i="4" s="1"/>
  <c r="D67" i="4"/>
  <c r="E67" i="4" s="1"/>
  <c r="F67" i="4" s="1"/>
  <c r="G67" i="4" s="1"/>
  <c r="H67" i="4" s="1"/>
  <c r="I67" i="4" s="1"/>
  <c r="D57" i="4"/>
  <c r="E57" i="4" s="1"/>
  <c r="F57" i="4" s="1"/>
  <c r="G57" i="4" s="1"/>
  <c r="H57" i="4" s="1"/>
  <c r="I57" i="4" s="1"/>
  <c r="F16" i="4"/>
  <c r="I35" i="1" l="1"/>
  <c r="L32" i="1"/>
  <c r="K171" i="1"/>
  <c r="L171" i="1"/>
  <c r="I10" i="1"/>
  <c r="I12" i="1" s="1"/>
  <c r="G22" i="6"/>
  <c r="D25" i="6" s="1"/>
  <c r="D29" i="6" s="1"/>
  <c r="F22" i="6"/>
  <c r="F14" i="6"/>
  <c r="F21" i="6"/>
  <c r="E22" i="6"/>
  <c r="D22" i="6"/>
  <c r="J14" i="6"/>
  <c r="I14" i="6"/>
  <c r="Q16" i="6"/>
  <c r="P16" i="6"/>
  <c r="O16" i="6"/>
  <c r="N16" i="6"/>
  <c r="M16" i="6"/>
  <c r="L16" i="6"/>
  <c r="K16" i="6"/>
  <c r="J16" i="6"/>
  <c r="I16" i="6"/>
  <c r="Q15" i="6"/>
  <c r="P15" i="6"/>
  <c r="O15" i="6"/>
  <c r="N15" i="6"/>
  <c r="M15" i="6"/>
  <c r="L15" i="6"/>
  <c r="K15" i="6"/>
  <c r="J15" i="6"/>
  <c r="I15" i="6"/>
  <c r="N13" i="6"/>
  <c r="M13" i="6"/>
  <c r="Q13" i="6"/>
  <c r="P13" i="6"/>
  <c r="O13" i="6"/>
  <c r="L13" i="6"/>
  <c r="K13" i="6"/>
  <c r="J13" i="6"/>
  <c r="I13" i="6"/>
  <c r="E16" i="6"/>
  <c r="E15" i="6"/>
  <c r="E13" i="6"/>
  <c r="Q12" i="6"/>
  <c r="P12" i="6"/>
  <c r="O12" i="6"/>
  <c r="N12" i="6"/>
  <c r="M12" i="6"/>
  <c r="L12" i="6"/>
  <c r="K12" i="6"/>
  <c r="J12" i="6"/>
  <c r="I12" i="6"/>
  <c r="E12" i="6"/>
  <c r="M32" i="1" l="1"/>
  <c r="M171" i="1"/>
  <c r="J10" i="6"/>
  <c r="J9" i="6"/>
  <c r="J8" i="6"/>
  <c r="J7" i="6"/>
  <c r="J6" i="6"/>
  <c r="J5" i="6"/>
  <c r="J4" i="6"/>
  <c r="J3" i="6"/>
  <c r="I10" i="6"/>
  <c r="I9" i="6"/>
  <c r="I8" i="6"/>
  <c r="I7" i="6"/>
  <c r="I6" i="6"/>
  <c r="I5" i="6"/>
  <c r="I4" i="6"/>
  <c r="I3" i="6"/>
  <c r="Q14" i="6" l="1"/>
  <c r="E14" i="6"/>
  <c r="P14" i="6"/>
  <c r="O14" i="6"/>
  <c r="N14" i="6"/>
  <c r="K14" i="6"/>
  <c r="L14" i="6"/>
  <c r="M14" i="6"/>
  <c r="E164" i="1"/>
  <c r="F164" i="1"/>
  <c r="G164" i="1"/>
  <c r="E154" i="1"/>
  <c r="F154" i="1"/>
  <c r="G154" i="1"/>
  <c r="E159" i="1"/>
  <c r="F159" i="1"/>
  <c r="G159" i="1"/>
  <c r="E158" i="1"/>
  <c r="F158" i="1"/>
  <c r="G158" i="1"/>
  <c r="O18" i="6" s="1"/>
  <c r="E163" i="1"/>
  <c r="F163" i="1"/>
  <c r="G163" i="1"/>
  <c r="P18" i="6" s="1"/>
  <c r="G157" i="1"/>
  <c r="F157" i="1"/>
  <c r="E157" i="1"/>
  <c r="G153" i="1"/>
  <c r="Q18" i="6" s="1"/>
  <c r="F153" i="1"/>
  <c r="E153" i="1"/>
  <c r="I157" i="1" l="1"/>
  <c r="J157" i="1" s="1"/>
  <c r="K157" i="1" s="1"/>
  <c r="L157" i="1" s="1"/>
  <c r="M157" i="1" s="1"/>
  <c r="D37" i="4" l="1"/>
  <c r="E37" i="4"/>
  <c r="C37" i="4"/>
  <c r="D24" i="4"/>
  <c r="E24" i="4"/>
  <c r="C24" i="4"/>
  <c r="C25" i="4" s="1"/>
  <c r="J20" i="1"/>
  <c r="K20" i="1"/>
  <c r="L20" i="1"/>
  <c r="M20" i="1"/>
  <c r="G50" i="1"/>
  <c r="H18" i="6" s="1"/>
  <c r="E38" i="4" l="1"/>
  <c r="D38" i="4"/>
  <c r="C38" i="4"/>
  <c r="E25" i="4"/>
  <c r="D25" i="4"/>
  <c r="G87" i="1" l="1"/>
  <c r="I113" i="1"/>
  <c r="J113" i="1" s="1"/>
  <c r="K113" i="1" s="1"/>
  <c r="L113" i="1" s="1"/>
  <c r="M113" i="1" s="1"/>
  <c r="G112" i="1"/>
  <c r="F112" i="1"/>
  <c r="E112" i="1"/>
  <c r="E68" i="1"/>
  <c r="F68" i="1"/>
  <c r="G68" i="1"/>
  <c r="F115" i="1" l="1"/>
  <c r="D43" i="4"/>
  <c r="D44" i="4" s="1"/>
  <c r="E115" i="1"/>
  <c r="C43" i="4"/>
  <c r="C44" i="4" s="1"/>
  <c r="G115" i="1"/>
  <c r="E43" i="4"/>
  <c r="E44" i="4" s="1"/>
  <c r="I112" i="1"/>
  <c r="J112" i="1" s="1"/>
  <c r="K112" i="1" s="1"/>
  <c r="L112" i="1" s="1"/>
  <c r="M112" i="1" s="1"/>
  <c r="M69" i="1" s="1"/>
  <c r="I129" i="1"/>
  <c r="I58" i="1"/>
  <c r="F37" i="4" s="1"/>
  <c r="J116" i="1"/>
  <c r="K116" i="1" s="1"/>
  <c r="L116" i="1" s="1"/>
  <c r="M116" i="1" s="1"/>
  <c r="J126" i="1"/>
  <c r="M77" i="1"/>
  <c r="G77" i="1"/>
  <c r="F77" i="1"/>
  <c r="E77" i="1"/>
  <c r="J69" i="1" l="1"/>
  <c r="K69" i="1"/>
  <c r="I69" i="1"/>
  <c r="L69" i="1"/>
  <c r="J115" i="1"/>
  <c r="K115" i="1" s="1"/>
  <c r="L115" i="1" s="1"/>
  <c r="M115" i="1" s="1"/>
  <c r="J58" i="1"/>
  <c r="G37" i="4" s="1"/>
  <c r="K126" i="1"/>
  <c r="L177" i="1"/>
  <c r="L77" i="1" s="1"/>
  <c r="K177" i="1"/>
  <c r="K77" i="1" s="1"/>
  <c r="J177" i="1"/>
  <c r="J77" i="1" s="1"/>
  <c r="I177" i="1"/>
  <c r="I77" i="1" s="1"/>
  <c r="G173" i="1"/>
  <c r="F173" i="1"/>
  <c r="E173" i="1"/>
  <c r="J80" i="1"/>
  <c r="K80" i="1"/>
  <c r="L80" i="1"/>
  <c r="M80" i="1"/>
  <c r="I80" i="1"/>
  <c r="G171" i="1"/>
  <c r="F171" i="1"/>
  <c r="E171" i="1"/>
  <c r="I20" i="1"/>
  <c r="G169" i="1"/>
  <c r="F169" i="1"/>
  <c r="E169" i="1"/>
  <c r="E87" i="1"/>
  <c r="F86" i="1" s="1"/>
  <c r="E16" i="1"/>
  <c r="G16" i="1"/>
  <c r="F16" i="1"/>
  <c r="G152" i="1"/>
  <c r="F152" i="1"/>
  <c r="E152" i="1"/>
  <c r="E35" i="1"/>
  <c r="E145" i="1" s="1"/>
  <c r="F35" i="1"/>
  <c r="F145" i="1" s="1"/>
  <c r="G35" i="1"/>
  <c r="E47" i="1"/>
  <c r="F47" i="1"/>
  <c r="G47" i="1"/>
  <c r="J81" i="1"/>
  <c r="K81" i="1"/>
  <c r="L81" i="1"/>
  <c r="M81" i="1"/>
  <c r="J74" i="1"/>
  <c r="K74" i="1"/>
  <c r="L74" i="1"/>
  <c r="M74" i="1"/>
  <c r="I74" i="1"/>
  <c r="G141" i="1"/>
  <c r="F141" i="1"/>
  <c r="E141" i="1"/>
  <c r="G139" i="1"/>
  <c r="F139" i="1"/>
  <c r="E139" i="1"/>
  <c r="F135" i="1"/>
  <c r="G135" i="1"/>
  <c r="E135" i="1"/>
  <c r="G36" i="1"/>
  <c r="F36" i="1"/>
  <c r="E36" i="1"/>
  <c r="G44" i="1"/>
  <c r="F44" i="1"/>
  <c r="E44" i="1"/>
  <c r="G45" i="1"/>
  <c r="F45" i="1"/>
  <c r="E45" i="1"/>
  <c r="G46" i="1"/>
  <c r="F46" i="1"/>
  <c r="E46" i="1"/>
  <c r="F128" i="1"/>
  <c r="E131" i="1"/>
  <c r="G128" i="1"/>
  <c r="G131" i="1"/>
  <c r="F131" i="1"/>
  <c r="E121" i="1"/>
  <c r="G121" i="1"/>
  <c r="F121" i="1"/>
  <c r="G109" i="1"/>
  <c r="G107" i="1"/>
  <c r="F107" i="1"/>
  <c r="E107" i="1"/>
  <c r="G105" i="1"/>
  <c r="F105" i="1"/>
  <c r="E105" i="1"/>
  <c r="F103" i="1"/>
  <c r="G103" i="1"/>
  <c r="E103" i="1"/>
  <c r="G101" i="1"/>
  <c r="F101" i="1"/>
  <c r="E101" i="1"/>
  <c r="F98" i="1"/>
  <c r="G98" i="1"/>
  <c r="E98" i="1"/>
  <c r="F96" i="1"/>
  <c r="G96" i="1"/>
  <c r="E96" i="1"/>
  <c r="F94" i="1"/>
  <c r="G94" i="1"/>
  <c r="E18" i="6" s="1"/>
  <c r="E94" i="1"/>
  <c r="G92" i="1"/>
  <c r="F92" i="1"/>
  <c r="E50" i="1"/>
  <c r="F190" i="1" l="1"/>
  <c r="F191" i="1" s="1"/>
  <c r="G167" i="1"/>
  <c r="I21" i="1"/>
  <c r="I17" i="4"/>
  <c r="F17" i="4"/>
  <c r="G18" i="6"/>
  <c r="E190" i="1"/>
  <c r="E191" i="1" s="1"/>
  <c r="F167" i="1"/>
  <c r="F162" i="1"/>
  <c r="D27" i="4"/>
  <c r="G162" i="1"/>
  <c r="E27" i="4"/>
  <c r="E179" i="1"/>
  <c r="C27" i="4"/>
  <c r="L126" i="1"/>
  <c r="K58" i="1"/>
  <c r="H37" i="4" s="1"/>
  <c r="G190" i="1"/>
  <c r="G191" i="1" s="1"/>
  <c r="G145" i="1"/>
  <c r="F179" i="1"/>
  <c r="I76" i="1"/>
  <c r="G179" i="1"/>
  <c r="G134" i="1"/>
  <c r="F40" i="1"/>
  <c r="I121" i="1"/>
  <c r="G149" i="1"/>
  <c r="G148" i="1"/>
  <c r="F134" i="1"/>
  <c r="E149" i="1"/>
  <c r="F148" i="1"/>
  <c r="F149" i="1"/>
  <c r="G40" i="1"/>
  <c r="E162" i="1"/>
  <c r="E148" i="1"/>
  <c r="E40" i="1"/>
  <c r="E132" i="1"/>
  <c r="F132" i="1"/>
  <c r="G132" i="1"/>
  <c r="E48" i="1"/>
  <c r="J107" i="1"/>
  <c r="F48" i="1"/>
  <c r="G48" i="1"/>
  <c r="I135" i="1"/>
  <c r="I79" i="1" s="1"/>
  <c r="J103" i="1"/>
  <c r="J105" i="1"/>
  <c r="K105" i="1" s="1"/>
  <c r="L105" i="1" s="1"/>
  <c r="M105" i="1" s="1"/>
  <c r="I57" i="1"/>
  <c r="J18" i="6" l="1"/>
  <c r="E21" i="6" s="1"/>
  <c r="I18" i="6"/>
  <c r="D21" i="6" s="1"/>
  <c r="I131" i="1"/>
  <c r="L58" i="1"/>
  <c r="I37" i="4" s="1"/>
  <c r="M126" i="1"/>
  <c r="M58" i="1" s="1"/>
  <c r="J37" i="4" s="1"/>
  <c r="J173" i="1"/>
  <c r="J76" i="1" s="1"/>
  <c r="F52" i="1"/>
  <c r="G52" i="1"/>
  <c r="E52" i="1"/>
  <c r="I70" i="1"/>
  <c r="K103" i="1"/>
  <c r="J59" i="1"/>
  <c r="I59" i="1"/>
  <c r="K107" i="1"/>
  <c r="J70" i="1"/>
  <c r="J101" i="1"/>
  <c r="G21" i="6" l="1"/>
  <c r="D24" i="6" s="1"/>
  <c r="K173" i="1"/>
  <c r="L173" i="1" s="1"/>
  <c r="J135" i="1"/>
  <c r="J79" i="1" s="1"/>
  <c r="L107" i="1"/>
  <c r="K70" i="1"/>
  <c r="K101" i="1"/>
  <c r="J57" i="1"/>
  <c r="L103" i="1"/>
  <c r="K59" i="1"/>
  <c r="E81" i="1"/>
  <c r="F81" i="1"/>
  <c r="F109" i="1" s="1"/>
  <c r="G72" i="1"/>
  <c r="F72" i="1"/>
  <c r="E72" i="1"/>
  <c r="E61" i="1"/>
  <c r="C40" i="4" s="1"/>
  <c r="C41" i="4" s="1"/>
  <c r="F61" i="1"/>
  <c r="D40" i="4" s="1"/>
  <c r="D41" i="4" s="1"/>
  <c r="G61" i="1"/>
  <c r="E40" i="4" s="1"/>
  <c r="E41" i="4" s="1"/>
  <c r="D28" i="6" l="1" a="1"/>
  <c r="D28" i="6" s="1"/>
  <c r="D30" i="6" s="1"/>
  <c r="C9" i="4" s="1"/>
  <c r="D26" i="6"/>
  <c r="C8" i="4" s="1"/>
  <c r="K76" i="1"/>
  <c r="J131" i="1"/>
  <c r="K135" i="1" s="1"/>
  <c r="K79" i="1" s="1"/>
  <c r="E109" i="1"/>
  <c r="E83" i="1"/>
  <c r="L76" i="1"/>
  <c r="M173" i="1"/>
  <c r="M76" i="1" s="1"/>
  <c r="M103" i="1"/>
  <c r="M59" i="1" s="1"/>
  <c r="L59" i="1"/>
  <c r="L101" i="1"/>
  <c r="K57" i="1"/>
  <c r="M107" i="1"/>
  <c r="M70" i="1" s="1"/>
  <c r="L70" i="1"/>
  <c r="G83" i="1"/>
  <c r="F83" i="1"/>
  <c r="G12" i="1"/>
  <c r="G18" i="1" s="1"/>
  <c r="F12" i="1"/>
  <c r="F18" i="1" s="1"/>
  <c r="E12" i="1"/>
  <c r="E18" i="1" s="1"/>
  <c r="C29" i="4" s="1"/>
  <c r="I51" i="4" l="1"/>
  <c r="M51" i="4"/>
  <c r="H51" i="4"/>
  <c r="O51" i="4"/>
  <c r="K51" i="4"/>
  <c r="L51" i="4"/>
  <c r="J51" i="4"/>
  <c r="G51" i="4"/>
  <c r="N51" i="4"/>
  <c r="C32" i="4"/>
  <c r="C48" i="4"/>
  <c r="C30" i="4"/>
  <c r="F187" i="1"/>
  <c r="F193" i="1" s="1"/>
  <c r="D29" i="4"/>
  <c r="G187" i="1"/>
  <c r="G193" i="1" s="1"/>
  <c r="E29" i="4"/>
  <c r="E187" i="1"/>
  <c r="F23" i="1"/>
  <c r="F27" i="1" s="1"/>
  <c r="G23" i="1"/>
  <c r="G27" i="1" s="1"/>
  <c r="E23" i="1"/>
  <c r="M101" i="1"/>
  <c r="M57" i="1" s="1"/>
  <c r="L57" i="1"/>
  <c r="K131" i="1"/>
  <c r="F188" i="1" l="1"/>
  <c r="G188" i="1"/>
  <c r="D32" i="4"/>
  <c r="D48" i="4"/>
  <c r="D30" i="4"/>
  <c r="E32" i="4"/>
  <c r="E48" i="4"/>
  <c r="E30" i="4"/>
  <c r="K18" i="6" s="1"/>
  <c r="C35" i="4"/>
  <c r="C46" i="4" s="1"/>
  <c r="C33" i="4"/>
  <c r="F119" i="1"/>
  <c r="G119" i="1"/>
  <c r="E193" i="1"/>
  <c r="E119" i="1"/>
  <c r="E27" i="1"/>
  <c r="E56" i="1" s="1"/>
  <c r="E65" i="1" s="1"/>
  <c r="E85" i="1" s="1"/>
  <c r="G56" i="1"/>
  <c r="G65" i="1" s="1"/>
  <c r="G85" i="1" s="1"/>
  <c r="F56" i="1"/>
  <c r="F65" i="1" s="1"/>
  <c r="F85" i="1" s="1"/>
  <c r="F87" i="1" s="1"/>
  <c r="G86" i="1" s="1"/>
  <c r="F138" i="1"/>
  <c r="L135" i="1"/>
  <c r="F24" i="4" l="1"/>
  <c r="F25" i="4" s="1"/>
  <c r="I154" i="1"/>
  <c r="I39" i="1" s="1"/>
  <c r="E35" i="4"/>
  <c r="E46" i="4" s="1"/>
  <c r="E33" i="4"/>
  <c r="D35" i="4"/>
  <c r="D46" i="4" s="1"/>
  <c r="D33" i="4"/>
  <c r="E138" i="1"/>
  <c r="I119" i="1"/>
  <c r="J9" i="1"/>
  <c r="L131" i="1"/>
  <c r="L79" i="1"/>
  <c r="I68" i="1"/>
  <c r="F43" i="4" s="1"/>
  <c r="J68" i="1" l="1"/>
  <c r="J72" i="1" s="1"/>
  <c r="J35" i="1"/>
  <c r="F44" i="4"/>
  <c r="F38" i="4"/>
  <c r="J154" i="1"/>
  <c r="J39" i="1" s="1"/>
  <c r="G24" i="4"/>
  <c r="G43" i="4"/>
  <c r="J129" i="1"/>
  <c r="J14" i="1"/>
  <c r="I124" i="1"/>
  <c r="J124" i="1" s="1"/>
  <c r="J10" i="1"/>
  <c r="K9" i="1"/>
  <c r="K35" i="1" s="1"/>
  <c r="J15" i="1"/>
  <c r="M135" i="1"/>
  <c r="M79" i="1" s="1"/>
  <c r="I72" i="1"/>
  <c r="J12" i="1" l="1"/>
  <c r="J18" i="1" s="1"/>
  <c r="J159" i="1"/>
  <c r="J38" i="1" s="1"/>
  <c r="J164" i="1"/>
  <c r="G44" i="4"/>
  <c r="K154" i="1"/>
  <c r="K39" i="1" s="1"/>
  <c r="H24" i="4"/>
  <c r="G25" i="4"/>
  <c r="G38" i="4"/>
  <c r="K68" i="1"/>
  <c r="J16" i="1"/>
  <c r="L9" i="1"/>
  <c r="L35" i="1" s="1"/>
  <c r="K10" i="1"/>
  <c r="K14" i="1"/>
  <c r="K15" i="1"/>
  <c r="K129" i="1"/>
  <c r="M131" i="1"/>
  <c r="G27" i="4" l="1"/>
  <c r="J47" i="1"/>
  <c r="J43" i="1"/>
  <c r="J44" i="1"/>
  <c r="K12" i="1"/>
  <c r="K159" i="1"/>
  <c r="K38" i="1" s="1"/>
  <c r="K164" i="1"/>
  <c r="L154" i="1"/>
  <c r="L39" i="1" s="1"/>
  <c r="I24" i="4"/>
  <c r="K72" i="1"/>
  <c r="H43" i="4"/>
  <c r="H44" i="4" s="1"/>
  <c r="H25" i="4"/>
  <c r="H38" i="4"/>
  <c r="J187" i="1"/>
  <c r="G29" i="4"/>
  <c r="J181" i="1"/>
  <c r="L15" i="1"/>
  <c r="M9" i="1"/>
  <c r="M35" i="1" s="1"/>
  <c r="L14" i="1"/>
  <c r="L10" i="1"/>
  <c r="K16" i="1"/>
  <c r="L129" i="1"/>
  <c r="L68" i="1"/>
  <c r="K18" i="1"/>
  <c r="H29" i="4" s="1"/>
  <c r="K124" i="1"/>
  <c r="M129" i="1"/>
  <c r="I15" i="1"/>
  <c r="H27" i="4" l="1"/>
  <c r="K47" i="1"/>
  <c r="K44" i="1"/>
  <c r="K43" i="1"/>
  <c r="L12" i="1"/>
  <c r="L18" i="1" s="1"/>
  <c r="L187" i="1" s="1"/>
  <c r="L159" i="1"/>
  <c r="L38" i="1" s="1"/>
  <c r="L164" i="1"/>
  <c r="I164" i="1"/>
  <c r="I159" i="1"/>
  <c r="I38" i="1" s="1"/>
  <c r="M154" i="1"/>
  <c r="M39" i="1" s="1"/>
  <c r="K187" i="1"/>
  <c r="K188" i="1" s="1"/>
  <c r="L72" i="1"/>
  <c r="I43" i="4"/>
  <c r="I44" i="4" s="1"/>
  <c r="J24" i="4"/>
  <c r="I25" i="4"/>
  <c r="I38" i="4"/>
  <c r="L16" i="1"/>
  <c r="H32" i="4"/>
  <c r="H30" i="4"/>
  <c r="H48" i="4"/>
  <c r="G32" i="4"/>
  <c r="G30" i="4"/>
  <c r="G48" i="4"/>
  <c r="K181" i="1"/>
  <c r="M15" i="1"/>
  <c r="M14" i="1"/>
  <c r="M10" i="1"/>
  <c r="M68" i="1"/>
  <c r="L124" i="1"/>
  <c r="M124" i="1" s="1"/>
  <c r="I16" i="1"/>
  <c r="I27" i="4" l="1"/>
  <c r="L47" i="1"/>
  <c r="L44" i="1"/>
  <c r="L43" i="1"/>
  <c r="F27" i="4"/>
  <c r="I43" i="1"/>
  <c r="I44" i="1"/>
  <c r="I47" i="1"/>
  <c r="M12" i="1"/>
  <c r="M18" i="1" s="1"/>
  <c r="M159" i="1"/>
  <c r="M38" i="1" s="1"/>
  <c r="M164" i="1"/>
  <c r="I29" i="4"/>
  <c r="I32" i="4" s="1"/>
  <c r="L188" i="1"/>
  <c r="M16" i="1"/>
  <c r="J27" i="4" s="1"/>
  <c r="M72" i="1"/>
  <c r="J43" i="4"/>
  <c r="J44" i="4" s="1"/>
  <c r="K24" i="4"/>
  <c r="J25" i="4"/>
  <c r="J38" i="4"/>
  <c r="K38" i="4" s="1"/>
  <c r="G35" i="4"/>
  <c r="G33" i="4"/>
  <c r="H35" i="4"/>
  <c r="H33" i="4"/>
  <c r="L181" i="1"/>
  <c r="K61" i="1"/>
  <c r="H40" i="4" s="1"/>
  <c r="I18" i="1"/>
  <c r="I181" i="1"/>
  <c r="M44" i="1" l="1"/>
  <c r="M43" i="1"/>
  <c r="M47" i="1"/>
  <c r="M181" i="1"/>
  <c r="I48" i="4"/>
  <c r="I30" i="4"/>
  <c r="K37" i="4"/>
  <c r="L38" i="4"/>
  <c r="K43" i="4"/>
  <c r="K29" i="4"/>
  <c r="L24" i="4"/>
  <c r="L61" i="1"/>
  <c r="I40" i="4" s="1"/>
  <c r="I41" i="4" s="1"/>
  <c r="H46" i="4"/>
  <c r="H53" i="4" s="1"/>
  <c r="H41" i="4"/>
  <c r="I35" i="4"/>
  <c r="I33" i="4"/>
  <c r="I23" i="1"/>
  <c r="I25" i="1" s="1"/>
  <c r="F29" i="4"/>
  <c r="M187" i="1"/>
  <c r="M188" i="1" s="1"/>
  <c r="J29" i="4"/>
  <c r="I187" i="1"/>
  <c r="I188" i="1" s="1"/>
  <c r="I61" i="1"/>
  <c r="F40" i="4" s="1"/>
  <c r="F41" i="4" s="1"/>
  <c r="J61" i="1"/>
  <c r="G40" i="4" s="1"/>
  <c r="M61" i="1" l="1"/>
  <c r="J40" i="4" s="1"/>
  <c r="J41" i="4" s="1"/>
  <c r="J188" i="1"/>
  <c r="L43" i="4"/>
  <c r="M24" i="4"/>
  <c r="L29" i="4"/>
  <c r="L27" i="4" s="1"/>
  <c r="K27" i="4"/>
  <c r="K48" i="4"/>
  <c r="L37" i="4"/>
  <c r="M38" i="4"/>
  <c r="I46" i="4"/>
  <c r="I53" i="4" s="1"/>
  <c r="G46" i="4"/>
  <c r="G53" i="4" s="1"/>
  <c r="G41" i="4"/>
  <c r="F32" i="4"/>
  <c r="F30" i="4"/>
  <c r="F48" i="4"/>
  <c r="J32" i="4"/>
  <c r="J30" i="4"/>
  <c r="J48" i="4"/>
  <c r="I60" i="1"/>
  <c r="I45" i="1" s="1"/>
  <c r="I63" i="1"/>
  <c r="I27" i="1"/>
  <c r="I81" i="1"/>
  <c r="I139" i="1" l="1"/>
  <c r="I75" i="1" s="1"/>
  <c r="K41" i="4"/>
  <c r="K40" i="4" s="1"/>
  <c r="L48" i="4"/>
  <c r="I56" i="1"/>
  <c r="I65" i="1" s="1"/>
  <c r="I182" i="1" s="1"/>
  <c r="N38" i="4"/>
  <c r="M37" i="4"/>
  <c r="M43" i="4"/>
  <c r="N24" i="4"/>
  <c r="M29" i="4"/>
  <c r="M27" i="4" s="1"/>
  <c r="J35" i="4"/>
  <c r="J46" i="4" s="1"/>
  <c r="J53" i="4" s="1"/>
  <c r="J33" i="4"/>
  <c r="K33" i="4" s="1"/>
  <c r="F35" i="4"/>
  <c r="F46" i="4" s="1"/>
  <c r="F33" i="4"/>
  <c r="L41" i="4" l="1"/>
  <c r="L40" i="4" s="1"/>
  <c r="N43" i="4"/>
  <c r="N29" i="4"/>
  <c r="O24" i="4"/>
  <c r="M48" i="4"/>
  <c r="O38" i="4"/>
  <c r="N37" i="4"/>
  <c r="L33" i="4"/>
  <c r="K32" i="4"/>
  <c r="K35" i="4" s="1"/>
  <c r="K46" i="4" s="1"/>
  <c r="K53" i="4" s="1"/>
  <c r="I183" i="1"/>
  <c r="M41" i="4" l="1"/>
  <c r="O37" i="4"/>
  <c r="N27" i="4"/>
  <c r="N48" i="4"/>
  <c r="O29" i="4"/>
  <c r="O43" i="4"/>
  <c r="N41" i="4"/>
  <c r="M40" i="4"/>
  <c r="M33" i="4"/>
  <c r="L32" i="4"/>
  <c r="L35" i="4" s="1"/>
  <c r="L46" i="4" s="1"/>
  <c r="L53" i="4" s="1"/>
  <c r="I78" i="1"/>
  <c r="I46" i="1" s="1"/>
  <c r="I48" i="1" s="1"/>
  <c r="O27" i="4" l="1"/>
  <c r="O48" i="4"/>
  <c r="I7" i="4" s="1"/>
  <c r="I9" i="4" s="1"/>
  <c r="O41" i="4"/>
  <c r="O40" i="4" s="1"/>
  <c r="N40" i="4"/>
  <c r="N33" i="4"/>
  <c r="M32" i="4"/>
  <c r="M35" i="4" s="1"/>
  <c r="M46" i="4" s="1"/>
  <c r="M53" i="4" s="1"/>
  <c r="J21" i="1"/>
  <c r="I83" i="1"/>
  <c r="I12" i="4" l="1"/>
  <c r="I14" i="4" s="1"/>
  <c r="O33" i="4"/>
  <c r="O32" i="4" s="1"/>
  <c r="O35" i="4" s="1"/>
  <c r="O46" i="4" s="1"/>
  <c r="I10" i="4" s="1"/>
  <c r="N32" i="4"/>
  <c r="N35" i="4" s="1"/>
  <c r="N46" i="4" s="1"/>
  <c r="N53" i="4" s="1"/>
  <c r="I190" i="1"/>
  <c r="I85" i="1"/>
  <c r="I87" i="1" s="1"/>
  <c r="I37" i="1" s="1"/>
  <c r="I40" i="1" s="1"/>
  <c r="I52" i="1" s="1"/>
  <c r="J23" i="1"/>
  <c r="F7" i="4" l="1"/>
  <c r="F9" i="4" s="1"/>
  <c r="O53" i="4"/>
  <c r="J86" i="1"/>
  <c r="J25" i="1"/>
  <c r="F10" i="4" l="1"/>
  <c r="F12" i="4"/>
  <c r="F15" i="4"/>
  <c r="I15" i="4"/>
  <c r="F14" i="4"/>
  <c r="J60" i="1"/>
  <c r="I191" i="1"/>
  <c r="I193" i="1" s="1"/>
  <c r="J63" i="1"/>
  <c r="J27" i="1"/>
  <c r="J45" i="1" l="1"/>
  <c r="F18" i="4"/>
  <c r="F20" i="4" s="1"/>
  <c r="B67" i="4" s="1"/>
  <c r="J139" i="1"/>
  <c r="J75" i="1" s="1"/>
  <c r="J56" i="1"/>
  <c r="J65" i="1" s="1"/>
  <c r="J182" i="1" l="1"/>
  <c r="J183" i="1" s="1"/>
  <c r="J78" i="1" s="1"/>
  <c r="J46" i="1" s="1"/>
  <c r="J48" i="1" l="1"/>
  <c r="J83" i="1"/>
  <c r="J85" i="1" s="1"/>
  <c r="J87" i="1" s="1"/>
  <c r="J37" i="1" s="1"/>
  <c r="J40" i="1" s="1"/>
  <c r="J190" i="1"/>
  <c r="J52" i="1" l="1"/>
  <c r="K21" i="1"/>
  <c r="K23" i="1" s="1"/>
  <c r="K86" i="1"/>
  <c r="J191" i="1"/>
  <c r="J193" i="1" s="1"/>
  <c r="K25" i="1" l="1"/>
  <c r="K27" i="1" l="1"/>
  <c r="K60" i="1"/>
  <c r="K63" i="1"/>
  <c r="K45" i="1" l="1"/>
  <c r="K139" i="1"/>
  <c r="K75" i="1" s="1"/>
  <c r="K56" i="1"/>
  <c r="K65" i="1" s="1"/>
  <c r="K182" i="1" l="1"/>
  <c r="K183" i="1" s="1"/>
  <c r="K78" i="1" s="1"/>
  <c r="K46" i="1" s="1"/>
  <c r="K48" i="1" l="1"/>
  <c r="K83" i="1"/>
  <c r="K85" i="1" s="1"/>
  <c r="K87" i="1" s="1"/>
  <c r="K37" i="1" s="1"/>
  <c r="K40" i="1" s="1"/>
  <c r="I18" i="4" l="1"/>
  <c r="I20" i="4" s="1"/>
  <c r="B57" i="4" s="1"/>
  <c r="L86" i="1"/>
  <c r="L21" i="1"/>
  <c r="K52" i="1"/>
  <c r="K190" i="1"/>
  <c r="K191" i="1" s="1"/>
  <c r="K193" i="1" s="1"/>
  <c r="L23" i="1" l="1"/>
  <c r="L25" i="1" s="1"/>
  <c r="L60" i="1" s="1"/>
  <c r="L27" i="1" l="1"/>
  <c r="L63" i="1"/>
  <c r="L45" i="1" s="1"/>
  <c r="L56" i="1" l="1"/>
  <c r="L65" i="1" s="1"/>
  <c r="L139" i="1"/>
  <c r="L75" i="1" s="1"/>
  <c r="L182" i="1" l="1"/>
  <c r="L183" i="1" s="1"/>
  <c r="L78" i="1" s="1"/>
  <c r="L46" i="1" s="1"/>
  <c r="L48" i="1" l="1"/>
  <c r="L190" i="1"/>
  <c r="L83" i="1"/>
  <c r="L85" i="1" s="1"/>
  <c r="L87" i="1" s="1"/>
  <c r="L37" i="1" s="1"/>
  <c r="L40" i="1" s="1"/>
  <c r="M21" i="1"/>
  <c r="M86" i="1" l="1"/>
  <c r="M23" i="1"/>
  <c r="M25" i="1" s="1"/>
  <c r="M60" i="1" s="1"/>
  <c r="L52" i="1"/>
  <c r="L191" i="1"/>
  <c r="L193" i="1" s="1"/>
  <c r="M27" i="1" l="1"/>
  <c r="M63" i="1"/>
  <c r="M45" i="1" s="1"/>
  <c r="M139" i="1" l="1"/>
  <c r="M75" i="1" s="1"/>
  <c r="M56" i="1"/>
  <c r="M65" i="1" s="1"/>
  <c r="M182" i="1" s="1"/>
  <c r="M183" i="1" s="1"/>
  <c r="M78" i="1" s="1"/>
  <c r="M46" i="1" s="1"/>
  <c r="M48" i="1" s="1"/>
  <c r="M190" i="1" l="1"/>
  <c r="M83" i="1"/>
  <c r="M85" i="1" s="1"/>
  <c r="M87" i="1" s="1"/>
  <c r="M37" i="1" s="1"/>
  <c r="M40" i="1" s="1"/>
  <c r="M52" i="1" l="1"/>
  <c r="M191" i="1"/>
  <c r="M193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<sst xmlns="http://schemas.openxmlformats.org/spreadsheetml/2006/main" count="253" uniqueCount="196">
  <si>
    <t>Nomad Foods</t>
  </si>
  <si>
    <t>Units</t>
  </si>
  <si>
    <t>Revenue</t>
  </si>
  <si>
    <t>Cost of Good Solds</t>
  </si>
  <si>
    <t>Other Operating Expenses</t>
  </si>
  <si>
    <t>Exceptional Items</t>
  </si>
  <si>
    <t>Financing Income</t>
  </si>
  <si>
    <t>Finance Expenses</t>
  </si>
  <si>
    <t>Income Statement</t>
  </si>
  <si>
    <t>Tax</t>
  </si>
  <si>
    <t>Net Income</t>
  </si>
  <si>
    <t>Gross Profit</t>
  </si>
  <si>
    <t>EBT</t>
  </si>
  <si>
    <t>Balance Sheet</t>
  </si>
  <si>
    <t>Goodwill</t>
  </si>
  <si>
    <t>Intangible Assets</t>
  </si>
  <si>
    <t>Property, Plan and Equipment</t>
  </si>
  <si>
    <t>Cash</t>
  </si>
  <si>
    <t>Inventories</t>
  </si>
  <si>
    <t>Trade Receivable</t>
  </si>
  <si>
    <t>Total Assets</t>
  </si>
  <si>
    <t>Trade Payables</t>
  </si>
  <si>
    <t>Provisions</t>
  </si>
  <si>
    <t>Loans and Borrowings</t>
  </si>
  <si>
    <t>Deferred Tax Liabilities</t>
  </si>
  <si>
    <t>Equity</t>
  </si>
  <si>
    <t>Balance Check</t>
  </si>
  <si>
    <t>Cashflow Statement</t>
  </si>
  <si>
    <t>Stock Based Compesation</t>
  </si>
  <si>
    <t>D&amp;A</t>
  </si>
  <si>
    <t>Loss on Disposal and Asset impairment</t>
  </si>
  <si>
    <t>Taxation</t>
  </si>
  <si>
    <t>Change in Working Capital</t>
  </si>
  <si>
    <t>Tax Paid</t>
  </si>
  <si>
    <t>Cashflow from Operating Activities</t>
  </si>
  <si>
    <t>Business Combination</t>
  </si>
  <si>
    <t>Purchase of PP&amp;E</t>
  </si>
  <si>
    <t>Redemption of Investments</t>
  </si>
  <si>
    <t>Repurchase of Shares</t>
  </si>
  <si>
    <t>Dividends Paid</t>
  </si>
  <si>
    <t>Payments related to Shares withheld Tax</t>
  </si>
  <si>
    <t>Net Debt</t>
  </si>
  <si>
    <t>Payment of Lease Liabilities</t>
  </si>
  <si>
    <t>Payment of Financing Fees</t>
  </si>
  <si>
    <t>Other</t>
  </si>
  <si>
    <t>Cashflow from Financing</t>
  </si>
  <si>
    <t>Cashflow from Investing</t>
  </si>
  <si>
    <t>Projected</t>
  </si>
  <si>
    <t>Historical</t>
  </si>
  <si>
    <t>Nomad Foods Drivers</t>
  </si>
  <si>
    <t>Total Operating Expenses</t>
  </si>
  <si>
    <t>Other Expenses as % Revenue</t>
  </si>
  <si>
    <t>Exceptional Items as % Revenue</t>
  </si>
  <si>
    <t>Purchase of PP&amp;E as % Revenue</t>
  </si>
  <si>
    <t>Revenue Growth %</t>
  </si>
  <si>
    <t>Marginal Tax Rate</t>
  </si>
  <si>
    <t>Book Taxes as % of EBT</t>
  </si>
  <si>
    <t>Taxes Paid as % of Book Taxes</t>
  </si>
  <si>
    <t>Lease Liabilities</t>
  </si>
  <si>
    <t>Right-of-use Assets included in PP&amp;E</t>
  </si>
  <si>
    <t>D&amp;A of Right-of-use Assets</t>
  </si>
  <si>
    <t>Total Leases included in Loans &amp; Borrowings</t>
  </si>
  <si>
    <t>Net Additions of ROU</t>
  </si>
  <si>
    <t>Leases as % of Loans and Borowings</t>
  </si>
  <si>
    <t>Liabilities</t>
  </si>
  <si>
    <t>Total Liabilities</t>
  </si>
  <si>
    <t>Tax Assets</t>
  </si>
  <si>
    <t>Additions + D&amp;A</t>
  </si>
  <si>
    <t>Princpal Lease Payment as % of Lease Liabilities</t>
  </si>
  <si>
    <t>Lease Payment</t>
  </si>
  <si>
    <t>Dividend and Share Repurchase</t>
  </si>
  <si>
    <t>Dividend as % of Net Income</t>
  </si>
  <si>
    <t>Net Dividend</t>
  </si>
  <si>
    <t>Share Repurchase</t>
  </si>
  <si>
    <t>Working Capital</t>
  </si>
  <si>
    <t>Trade Receivable as % of Revenue</t>
  </si>
  <si>
    <t>Inventory as % of Revenue</t>
  </si>
  <si>
    <t>Assets</t>
  </si>
  <si>
    <t>Operating Profit</t>
  </si>
  <si>
    <t>Provisions as % of Operating Expenses</t>
  </si>
  <si>
    <t>Trade Payables as % of Operating Expenses</t>
  </si>
  <si>
    <t>Other Liabilities as % of Operating Expenses</t>
  </si>
  <si>
    <t>Other Liabilities</t>
  </si>
  <si>
    <t>Other Assets</t>
  </si>
  <si>
    <t>Other Assets as % of Revenue</t>
  </si>
  <si>
    <t>Start Balance</t>
  </si>
  <si>
    <t>Ending Cash</t>
  </si>
  <si>
    <t>Net Change</t>
  </si>
  <si>
    <t>Debt</t>
  </si>
  <si>
    <t>Cost of Debt</t>
  </si>
  <si>
    <t>Finance Income</t>
  </si>
  <si>
    <t>Ratios</t>
  </si>
  <si>
    <t>EBITDA</t>
  </si>
  <si>
    <t>Total Debt</t>
  </si>
  <si>
    <t>Net Debt / EBITDA</t>
  </si>
  <si>
    <t>Growth</t>
  </si>
  <si>
    <t>Commitments</t>
  </si>
  <si>
    <t>Rollover</t>
  </si>
  <si>
    <t>Principal Payment</t>
  </si>
  <si>
    <t>Cash as % of Operating Expenses</t>
  </si>
  <si>
    <t>Cash Requirement on Balance</t>
  </si>
  <si>
    <t>Debt Issuing</t>
  </si>
  <si>
    <t>CAPEX</t>
  </si>
  <si>
    <t>Purchase of Intangible</t>
  </si>
  <si>
    <t>Purchase of Intangibles</t>
  </si>
  <si>
    <t xml:space="preserve">D&amp;A of Intangible </t>
  </si>
  <si>
    <t>D&amp;A of PPE</t>
  </si>
  <si>
    <t>Cash before Debt Funding</t>
  </si>
  <si>
    <t>(+) D&amp;A</t>
  </si>
  <si>
    <t>(-) Taxes</t>
  </si>
  <si>
    <t>(+/-) Working Capital</t>
  </si>
  <si>
    <t>(-) CAPEX</t>
  </si>
  <si>
    <t>(-) Operating Expenses</t>
  </si>
  <si>
    <t>NOPAT</t>
  </si>
  <si>
    <t>Unlevered Free Cash Flow</t>
  </si>
  <si>
    <t>Operating Margin</t>
  </si>
  <si>
    <t>Effective Tax Rate</t>
  </si>
  <si>
    <t>D&amp;A as % Revenue</t>
  </si>
  <si>
    <t>Working Capital as % Revenue</t>
  </si>
  <si>
    <t>CAPEX as % Revenue</t>
  </si>
  <si>
    <t>Trade Receivables</t>
  </si>
  <si>
    <t>Trade Receivable Day Oustanding</t>
  </si>
  <si>
    <t>Result</t>
  </si>
  <si>
    <t>Inventory</t>
  </si>
  <si>
    <t>Inventory Day Oustanding</t>
  </si>
  <si>
    <t>Trade Payables Day Oustanding</t>
  </si>
  <si>
    <t>Company Name</t>
  </si>
  <si>
    <t>Ticker</t>
  </si>
  <si>
    <t>CAG</t>
  </si>
  <si>
    <t>Conagra Brands, Inc</t>
  </si>
  <si>
    <t>Market Cap</t>
  </si>
  <si>
    <t>Gross Profit Margin</t>
  </si>
  <si>
    <t>Beta</t>
  </si>
  <si>
    <t>Forward P/E</t>
  </si>
  <si>
    <t>Revenue Forward 2Y</t>
  </si>
  <si>
    <t>Forward EV/EBITDA</t>
  </si>
  <si>
    <t>NESN</t>
  </si>
  <si>
    <t>Nestle SA</t>
  </si>
  <si>
    <t>TSN</t>
  </si>
  <si>
    <t>Tyson Foods</t>
  </si>
  <si>
    <t>GIS</t>
  </si>
  <si>
    <t>General Mills</t>
  </si>
  <si>
    <t>KGC</t>
  </si>
  <si>
    <t>The Kraft Heinz Company</t>
  </si>
  <si>
    <t>2802.TO</t>
  </si>
  <si>
    <t>Ajinomoto Co. Inc</t>
  </si>
  <si>
    <t>BGS</t>
  </si>
  <si>
    <t>B&amp;G Foods</t>
  </si>
  <si>
    <t>LW</t>
  </si>
  <si>
    <t>Lamb Weston Holdings</t>
  </si>
  <si>
    <t>Days Inventory Outstanding</t>
  </si>
  <si>
    <t>Days Payable Outstanding</t>
  </si>
  <si>
    <t>Days Receivable Outstanding</t>
  </si>
  <si>
    <t>NOMD</t>
  </si>
  <si>
    <t>Equity % Capital</t>
  </si>
  <si>
    <t>Debt % Capital</t>
  </si>
  <si>
    <t>Median</t>
  </si>
  <si>
    <t>Maximum</t>
  </si>
  <si>
    <t>Minimum</t>
  </si>
  <si>
    <t>75th Percentile</t>
  </si>
  <si>
    <t>25th Percentile</t>
  </si>
  <si>
    <t>WACC Calculation</t>
  </si>
  <si>
    <t>Optimal Capital Structure</t>
  </si>
  <si>
    <t>Current Capital Structure</t>
  </si>
  <si>
    <t>Unlevered Beta</t>
  </si>
  <si>
    <t>Levered Beta</t>
  </si>
  <si>
    <t>Discounted FCFF</t>
  </si>
  <si>
    <t>Cost of Equity</t>
  </si>
  <si>
    <t>Risk Free Rate</t>
  </si>
  <si>
    <t>Equity Risk Premium</t>
  </si>
  <si>
    <t>Cost of Capital</t>
  </si>
  <si>
    <t>Cost of Equity - Optimal Capital Structure</t>
  </si>
  <si>
    <t>Cost of Equity - Current Capital Structure</t>
  </si>
  <si>
    <t>Average Cost of Equity</t>
  </si>
  <si>
    <t>Cost of Capital - Current Capital Structure</t>
  </si>
  <si>
    <t>Cost of Capital - Optimal Capital Structure</t>
  </si>
  <si>
    <t>Average Cost of Capital</t>
  </si>
  <si>
    <t>Period</t>
  </si>
  <si>
    <t>Discount Factor</t>
  </si>
  <si>
    <t>PV of FCF</t>
  </si>
  <si>
    <t>Perpetual Growth</t>
  </si>
  <si>
    <t>Perpetual</t>
  </si>
  <si>
    <t>Terminal FCF</t>
  </si>
  <si>
    <t>Terminal Value</t>
  </si>
  <si>
    <t>Present Value of TV</t>
  </si>
  <si>
    <t>Sum of PV</t>
  </si>
  <si>
    <t>(+) Cash</t>
  </si>
  <si>
    <t>(-) Debt</t>
  </si>
  <si>
    <t>Implied EV/EBITDA</t>
  </si>
  <si>
    <t>Diluted Shares Count</t>
  </si>
  <si>
    <t>Share Price</t>
  </si>
  <si>
    <t>EV/EBITDA</t>
  </si>
  <si>
    <t>Terminal EBITDA</t>
  </si>
  <si>
    <t>Implied Growth Rate</t>
  </si>
  <si>
    <t>Exit</t>
  </si>
  <si>
    <t>Cost of Good Sold as % Revenue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</si>
</sst>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(&quot;$&quot;* #,##0.00_);_(&quot;$&quot;* \(#,##0.00\);_(&quot;$&quot;* &quot;-&quot;??_);_(@_)"/>
    <numFmt numFmtId="164" formatCode="&quot;$&quot;#,##0.0000_);\(&quot;$&quot;#,##0.0000\);&quot;OK!&quot;;&quot;ERROR&quot;"/>
    <numFmt numFmtId="165" formatCode="#,##0.00\x"/>
    <numFmt numFmtId="166" formatCode="0.000%"/>
    <numFmt numFmtId="168" formatCode="&quot;$&quot;#,##0.00_);\(&quot;$&quot;#,##0.00\);&quot;OK!&quot;;&quot;ERROR&quot;"/>
    <numFmt numFmtId="173" formatCode="[$€-2]\ #,##0.00"/>
    <numFmt numFmtId="174" formatCode="_([$€-2]\ * #,##0.00_);_([$€-2]\ * \(#,##0.00\);_([$€-2]\ * &quot;-&quot;??_);_(@_)"/>
  </numFmts>
  <fonts count="1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"/>
      <family val="2"/>
      <scheme val="major"/>
    </font>
    <font>
      <i/>
      <sz val="12"/>
      <color rgb="FF7F7F7F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2"/>
      <color theme="1"/>
      <name val="Calibri"/>
      <family val="1"/>
      <scheme val="minor"/>
    </font>
    <font>
      <b/>
      <sz val="12"/>
      <color theme="1"/>
      <name val="Calibri"/>
      <family val="1"/>
      <scheme val="minor"/>
    </font>
    <font>
      <sz val="12"/>
      <color theme="1"/>
      <name val="Calibri"/>
      <family val="1"/>
      <scheme val="minor"/>
    </font>
    <font>
      <b/>
      <sz val="12"/>
      <color theme="0"/>
      <name val="Calibri"/>
      <family val="1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0"/>
      <color rgb="FF000000"/>
      <name val="Times New Roman"/>
      <family val="1"/>
    </font>
    <font>
      <b/>
      <sz val="10"/>
      <color rgb="FF000000"/>
      <name val="Times New Roman"/>
      <family val="1"/>
    </font>
    <font>
      <sz val="12"/>
      <color rgb="FF000000"/>
      <name val="Calibri"/>
      <family val="2"/>
      <scheme val="minor"/>
    </font>
    <font>
      <b/>
      <sz val="16"/>
      <color theme="3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rgb="FF0070C0"/>
        <bgColor indexed="64"/>
      </patternFill>
    </fill>
    <fill>
      <patternFill patternType="solid">
        <fgColor rgb="FF002060"/>
        <bgColor indexed="64"/>
      </patternFill>
    </fill>
  </fills>
  <borders count="1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1"/>
      </top>
      <bottom style="medium">
        <color theme="1"/>
      </bottom>
      <diagonal/>
    </border>
    <border>
      <left style="medium">
        <color theme="0"/>
      </left>
      <right/>
      <top/>
      <bottom/>
      <diagonal/>
    </border>
    <border>
      <left/>
      <right/>
      <top/>
      <bottom style="medium">
        <color theme="0"/>
      </bottom>
      <diagonal/>
    </border>
    <border>
      <left style="medium">
        <color theme="0"/>
      </left>
      <right/>
      <top/>
      <bottom style="medium">
        <color theme="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theme="0"/>
      </right>
      <top/>
      <bottom/>
      <diagonal/>
    </border>
    <border>
      <left/>
      <right style="medium">
        <color theme="0"/>
      </right>
      <top/>
      <bottom style="medium">
        <color theme="0"/>
      </bottom>
      <diagonal/>
    </border>
  </borders>
  <cellStyleXfs count="7">
    <xf numFmtId="0" fontId="0" fillId="0" borderId="0"/>
    <xf numFmtId="0" fontId="2" fillId="0" borderId="0" applyNumberFormat="0" applyFill="0" applyBorder="0" applyAlignment="0" applyProtection="0"/>
    <xf numFmtId="0" fontId="1" fillId="2" borderId="1" applyNumberFormat="0" applyFont="0" applyAlignment="0" applyProtection="0"/>
    <xf numFmtId="0" fontId="3" fillId="0" borderId="0" applyNumberFormat="0" applyFill="0" applyBorder="0" applyAlignment="0" applyProtection="0"/>
    <xf numFmtId="0" fontId="4" fillId="3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</cellStyleXfs>
  <cellXfs count="92">
    <xf numFmtId="0" fontId="0" fillId="0" borderId="0" xfId="0"/>
    <xf numFmtId="0" fontId="0" fillId="2" borderId="1" xfId="2" applyFont="1"/>
    <xf numFmtId="44" fontId="0" fillId="0" borderId="0" xfId="0" applyNumberFormat="1"/>
    <xf numFmtId="0" fontId="0" fillId="0" borderId="0" xfId="0" applyAlignment="1">
      <alignment horizontal="left"/>
    </xf>
    <xf numFmtId="0" fontId="5" fillId="0" borderId="0" xfId="0" applyFont="1" applyAlignment="1">
      <alignment horizontal="left"/>
    </xf>
    <xf numFmtId="0" fontId="5" fillId="0" borderId="0" xfId="0" applyFont="1"/>
    <xf numFmtId="0" fontId="6" fillId="0" borderId="0" xfId="0" applyFont="1"/>
    <xf numFmtId="0" fontId="7" fillId="0" borderId="0" xfId="0" applyFont="1"/>
    <xf numFmtId="0" fontId="3" fillId="0" borderId="0" xfId="3"/>
    <xf numFmtId="164" fontId="3" fillId="0" borderId="0" xfId="3" applyNumberFormat="1"/>
    <xf numFmtId="0" fontId="8" fillId="3" borderId="0" xfId="4" applyFont="1"/>
    <xf numFmtId="44" fontId="9" fillId="0" borderId="0" xfId="0" applyNumberFormat="1" applyFont="1"/>
    <xf numFmtId="0" fontId="4" fillId="3" borderId="0" xfId="4"/>
    <xf numFmtId="0" fontId="10" fillId="3" borderId="0" xfId="4" applyFont="1" applyAlignment="1">
      <alignment horizontal="right"/>
    </xf>
    <xf numFmtId="0" fontId="12" fillId="0" borderId="0" xfId="0" applyFont="1"/>
    <xf numFmtId="0" fontId="11" fillId="0" borderId="0" xfId="0" applyFont="1"/>
    <xf numFmtId="4" fontId="11" fillId="0" borderId="0" xfId="0" applyNumberFormat="1" applyFont="1"/>
    <xf numFmtId="0" fontId="0" fillId="4" borderId="2" xfId="0" applyFill="1" applyBorder="1"/>
    <xf numFmtId="0" fontId="9" fillId="4" borderId="2" xfId="0" applyFont="1" applyFill="1" applyBorder="1"/>
    <xf numFmtId="10" fontId="0" fillId="0" borderId="0" xfId="0" applyNumberFormat="1"/>
    <xf numFmtId="0" fontId="10" fillId="3" borderId="0" xfId="4" applyFont="1"/>
    <xf numFmtId="10" fontId="0" fillId="2" borderId="1" xfId="2" applyNumberFormat="1" applyFont="1"/>
    <xf numFmtId="44" fontId="0" fillId="2" borderId="1" xfId="2" applyNumberFormat="1" applyFont="1"/>
    <xf numFmtId="9" fontId="0" fillId="2" borderId="1" xfId="2" applyNumberFormat="1" applyFont="1"/>
    <xf numFmtId="0" fontId="9" fillId="0" borderId="0" xfId="0" applyFont="1"/>
    <xf numFmtId="44" fontId="3" fillId="0" borderId="0" xfId="3" applyNumberFormat="1"/>
    <xf numFmtId="0" fontId="9" fillId="0" borderId="0" xfId="0" applyFont="1" applyAlignment="1">
      <alignment horizontal="left"/>
    </xf>
    <xf numFmtId="165" fontId="0" fillId="0" borderId="0" xfId="0" applyNumberFormat="1"/>
    <xf numFmtId="10" fontId="3" fillId="0" borderId="0" xfId="3" applyNumberFormat="1"/>
    <xf numFmtId="0" fontId="10" fillId="3" borderId="0" xfId="4" applyFont="1" applyBorder="1"/>
    <xf numFmtId="0" fontId="10" fillId="3" borderId="3" xfId="4" applyFont="1" applyBorder="1"/>
    <xf numFmtId="0" fontId="10" fillId="3" borderId="4" xfId="4" applyFont="1" applyBorder="1" applyAlignment="1"/>
    <xf numFmtId="0" fontId="10" fillId="3" borderId="5" xfId="4" applyFont="1" applyBorder="1" applyAlignment="1">
      <alignment horizontal="center"/>
    </xf>
    <xf numFmtId="0" fontId="10" fillId="3" borderId="4" xfId="4" applyFont="1" applyBorder="1" applyAlignment="1">
      <alignment horizontal="center"/>
    </xf>
    <xf numFmtId="0" fontId="3" fillId="0" borderId="0" xfId="3" applyNumberFormat="1"/>
    <xf numFmtId="0" fontId="13" fillId="0" borderId="0" xfId="0" applyFont="1"/>
    <xf numFmtId="0" fontId="9" fillId="5" borderId="0" xfId="5" applyFont="1"/>
    <xf numFmtId="0" fontId="2" fillId="0" borderId="0" xfId="1" applyAlignment="1">
      <alignment vertical="center"/>
    </xf>
    <xf numFmtId="0" fontId="14" fillId="0" borderId="0" xfId="1" applyFont="1"/>
    <xf numFmtId="2" fontId="0" fillId="0" borderId="0" xfId="0" applyNumberFormat="1"/>
    <xf numFmtId="2" fontId="0" fillId="2" borderId="1" xfId="2" applyNumberFormat="1" applyFont="1"/>
    <xf numFmtId="0" fontId="0" fillId="0" borderId="6" xfId="0" applyBorder="1"/>
    <xf numFmtId="0" fontId="0" fillId="0" borderId="7" xfId="0" applyBorder="1"/>
    <xf numFmtId="44" fontId="0" fillId="0" borderId="7" xfId="0" applyNumberFormat="1" applyBorder="1"/>
    <xf numFmtId="10" fontId="0" fillId="0" borderId="7" xfId="0" applyNumberFormat="1" applyBorder="1"/>
    <xf numFmtId="165" fontId="0" fillId="0" borderId="7" xfId="0" applyNumberFormat="1" applyBorder="1"/>
    <xf numFmtId="2" fontId="0" fillId="0" borderId="7" xfId="0" applyNumberFormat="1" applyBorder="1"/>
    <xf numFmtId="2" fontId="0" fillId="0" borderId="8" xfId="0" applyNumberFormat="1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10" fontId="0" fillId="0" borderId="12" xfId="0" applyNumberFormat="1" applyBorder="1"/>
    <xf numFmtId="0" fontId="10" fillId="3" borderId="6" xfId="4" applyFont="1" applyBorder="1"/>
    <xf numFmtId="0" fontId="10" fillId="3" borderId="7" xfId="4" applyFont="1" applyBorder="1"/>
    <xf numFmtId="0" fontId="10" fillId="3" borderId="8" xfId="4" applyFont="1" applyBorder="1"/>
    <xf numFmtId="2" fontId="0" fillId="0" borderId="10" xfId="0" applyNumberFormat="1" applyBorder="1"/>
    <xf numFmtId="44" fontId="0" fillId="0" borderId="12" xfId="0" applyNumberFormat="1" applyBorder="1"/>
    <xf numFmtId="165" fontId="0" fillId="0" borderId="12" xfId="0" applyNumberFormat="1" applyBorder="1"/>
    <xf numFmtId="2" fontId="0" fillId="0" borderId="12" xfId="0" applyNumberFormat="1" applyBorder="1"/>
    <xf numFmtId="2" fontId="0" fillId="0" borderId="13" xfId="0" applyNumberFormat="1" applyBorder="1"/>
    <xf numFmtId="0" fontId="9" fillId="6" borderId="9" xfId="6" applyFont="1" applyBorder="1"/>
    <xf numFmtId="0" fontId="9" fillId="6" borderId="0" xfId="6" applyFont="1" applyBorder="1"/>
    <xf numFmtId="10" fontId="9" fillId="6" borderId="0" xfId="6" applyNumberFormat="1" applyFont="1" applyBorder="1"/>
    <xf numFmtId="0" fontId="9" fillId="6" borderId="10" xfId="6" applyFont="1" applyBorder="1"/>
    <xf numFmtId="0" fontId="10" fillId="7" borderId="14" xfId="5" applyFont="1" applyFill="1" applyBorder="1"/>
    <xf numFmtId="0" fontId="10" fillId="7" borderId="15" xfId="5" applyFont="1" applyFill="1" applyBorder="1"/>
    <xf numFmtId="10" fontId="10" fillId="7" borderId="15" xfId="5" applyNumberFormat="1" applyFont="1" applyFill="1" applyBorder="1"/>
    <xf numFmtId="44" fontId="10" fillId="7" borderId="15" xfId="5" applyNumberFormat="1" applyFont="1" applyFill="1" applyBorder="1"/>
    <xf numFmtId="165" fontId="10" fillId="7" borderId="15" xfId="5" applyNumberFormat="1" applyFont="1" applyFill="1" applyBorder="1"/>
    <xf numFmtId="2" fontId="10" fillId="7" borderId="15" xfId="5" applyNumberFormat="1" applyFont="1" applyFill="1" applyBorder="1"/>
    <xf numFmtId="2" fontId="10" fillId="7" borderId="16" xfId="5" applyNumberFormat="1" applyFont="1" applyFill="1" applyBorder="1"/>
    <xf numFmtId="165" fontId="9" fillId="6" borderId="0" xfId="6" applyNumberFormat="1" applyFont="1" applyBorder="1"/>
    <xf numFmtId="165" fontId="0" fillId="2" borderId="1" xfId="2" applyNumberFormat="1" applyFont="1"/>
    <xf numFmtId="166" fontId="0" fillId="0" borderId="0" xfId="0" applyNumberFormat="1"/>
    <xf numFmtId="165" fontId="4" fillId="3" borderId="0" xfId="4" applyNumberFormat="1"/>
    <xf numFmtId="10" fontId="4" fillId="3" borderId="0" xfId="4" applyNumberFormat="1"/>
    <xf numFmtId="0" fontId="0" fillId="0" borderId="0" xfId="0" applyAlignment="1">
      <alignment horizontal="left"/>
    </xf>
    <xf numFmtId="168" fontId="3" fillId="0" borderId="0" xfId="3" applyNumberFormat="1"/>
    <xf numFmtId="0" fontId="10" fillId="3" borderId="17" xfId="4" applyFont="1" applyBorder="1"/>
    <xf numFmtId="0" fontId="10" fillId="3" borderId="18" xfId="4" applyFont="1" applyBorder="1" applyAlignment="1">
      <alignment horizontal="center"/>
    </xf>
    <xf numFmtId="173" fontId="0" fillId="0" borderId="0" xfId="0" applyNumberFormat="1"/>
    <xf numFmtId="173" fontId="5" fillId="0" borderId="0" xfId="0" applyNumberFormat="1" applyFont="1"/>
    <xf numFmtId="173" fontId="9" fillId="0" borderId="0" xfId="0" applyNumberFormat="1" applyFont="1"/>
    <xf numFmtId="174" fontId="0" fillId="0" borderId="0" xfId="0" applyNumberFormat="1"/>
    <xf numFmtId="174" fontId="9" fillId="0" borderId="0" xfId="0" applyNumberFormat="1" applyFont="1"/>
    <xf numFmtId="174" fontId="6" fillId="0" borderId="0" xfId="0" applyNumberFormat="1" applyFont="1"/>
    <xf numFmtId="174" fontId="3" fillId="0" borderId="0" xfId="3" applyNumberFormat="1"/>
    <xf numFmtId="174" fontId="0" fillId="4" borderId="2" xfId="0" applyNumberFormat="1" applyFill="1" applyBorder="1"/>
    <xf numFmtId="174" fontId="0" fillId="2" borderId="1" xfId="2" applyNumberFormat="1" applyFont="1"/>
    <xf numFmtId="174" fontId="9" fillId="5" borderId="0" xfId="5" applyNumberFormat="1" applyFont="1"/>
    <xf numFmtId="174" fontId="4" fillId="8" borderId="0" xfId="0" applyNumberFormat="1" applyFont="1" applyFill="1"/>
  </cellXfs>
  <cellStyles count="7">
    <cellStyle name="20% - Accent1" xfId="5" builtinId="30"/>
    <cellStyle name="40% - Accent4" xfId="6" builtinId="43"/>
    <cellStyle name="Accent1" xfId="4" builtinId="29"/>
    <cellStyle name="Explanatory Text" xfId="3" builtinId="53"/>
    <cellStyle name="Normal" xfId="0" builtinId="0"/>
    <cellStyle name="Note" xfId="2" builtinId="10"/>
    <cellStyle name="Title" xfId="1" builtin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Calibri">
      <a:majorFont>
        <a:latin typeface="Calibri" panose="020F05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017693-93FE-424F-BAC9-54FDD0413C8D}">
  <dimension ref="A1:T193"/>
  <sheetViews>
    <sheetView showGridLines="0" topLeftCell="A157" zoomScaleNormal="100" workbookViewId="0">
      <selection activeCell="M196" sqref="M196"/>
    </sheetView>
  </sheetViews>
  <sheetFormatPr baseColWidth="10" defaultRowHeight="16" x14ac:dyDescent="0.2"/>
  <cols>
    <col min="1" max="1" width="5" customWidth="1"/>
    <col min="2" max="2" width="17.1640625" customWidth="1"/>
    <col min="3" max="3" width="23.83203125" customWidth="1"/>
    <col min="5" max="5" width="16.33203125" customWidth="1"/>
    <col min="6" max="6" width="15.6640625" customWidth="1"/>
    <col min="7" max="8" width="13.83203125" customWidth="1"/>
    <col min="9" max="9" width="13.33203125" customWidth="1"/>
    <col min="10" max="10" width="15.1640625" customWidth="1"/>
    <col min="11" max="11" width="15.83203125" customWidth="1"/>
    <col min="12" max="12" width="16" customWidth="1"/>
    <col min="13" max="13" width="14.1640625" customWidth="1"/>
    <col min="14" max="14" width="14.5" customWidth="1"/>
    <col min="15" max="15" width="15" customWidth="1"/>
    <col min="16" max="16" width="13.33203125" customWidth="1"/>
    <col min="17" max="17" width="14.5" customWidth="1"/>
    <col min="20" max="20" width="10.83203125" customWidth="1"/>
  </cols>
  <sheetData>
    <row r="1" spans="1:16" ht="19" customHeight="1" x14ac:dyDescent="0.2">
      <c r="A1" s="37"/>
      <c r="B1" s="37"/>
      <c r="C1" s="37"/>
      <c r="D1" s="37"/>
      <c r="E1" s="37"/>
    </row>
    <row r="2" spans="1:16" ht="21" x14ac:dyDescent="0.25">
      <c r="B2" s="38" t="s">
        <v>0</v>
      </c>
    </row>
    <row r="4" spans="1:16" x14ac:dyDescent="0.2">
      <c r="B4" t="s">
        <v>1</v>
      </c>
      <c r="C4" s="1">
        <v>1000000</v>
      </c>
    </row>
    <row r="5" spans="1:16" x14ac:dyDescent="0.2">
      <c r="B5" t="s">
        <v>55</v>
      </c>
      <c r="C5" s="23">
        <v>0.25</v>
      </c>
    </row>
    <row r="7" spans="1:16" ht="17" thickBot="1" x14ac:dyDescent="0.25">
      <c r="B7" s="12"/>
      <c r="C7" s="12"/>
      <c r="D7" s="12"/>
      <c r="E7" s="31"/>
      <c r="F7" s="31" t="s">
        <v>48</v>
      </c>
      <c r="G7" s="31"/>
      <c r="H7" s="31"/>
      <c r="I7" s="32"/>
      <c r="J7" s="33"/>
      <c r="K7" s="33" t="s">
        <v>47</v>
      </c>
      <c r="L7" s="33"/>
      <c r="M7" s="33"/>
    </row>
    <row r="8" spans="1:16" x14ac:dyDescent="0.2">
      <c r="B8" s="12" t="s">
        <v>8</v>
      </c>
      <c r="C8" s="12"/>
      <c r="D8" s="12"/>
      <c r="E8" s="13">
        <v>2022</v>
      </c>
      <c r="F8" s="13">
        <v>2023</v>
      </c>
      <c r="G8" s="13">
        <v>2024</v>
      </c>
      <c r="H8" s="13">
        <v>2025</v>
      </c>
      <c r="I8" s="30">
        <v>2026</v>
      </c>
      <c r="J8" s="29">
        <v>2027</v>
      </c>
      <c r="K8" s="20">
        <v>2028</v>
      </c>
      <c r="L8" s="20">
        <v>2029</v>
      </c>
      <c r="M8" s="20">
        <v>2030</v>
      </c>
      <c r="P8" s="15"/>
    </row>
    <row r="9" spans="1:16" x14ac:dyDescent="0.2">
      <c r="B9" s="77" t="s">
        <v>2</v>
      </c>
      <c r="C9" s="77"/>
      <c r="E9" s="81">
        <v>2939.7</v>
      </c>
      <c r="F9" s="81">
        <v>3044.5</v>
      </c>
      <c r="G9" s="81">
        <v>3099.89</v>
      </c>
      <c r="H9" s="81">
        <f>G9+2259-2306.4</f>
        <v>3052.4899999999993</v>
      </c>
      <c r="I9" s="81">
        <f>H9*(1+I92)</f>
        <v>3128.8022499999988</v>
      </c>
      <c r="J9" s="81">
        <f>I9*(1+J92)</f>
        <v>3175.7342837499987</v>
      </c>
      <c r="K9" s="81">
        <f>J9*(1+K92)</f>
        <v>3215.4309622968735</v>
      </c>
      <c r="L9" s="81">
        <f>K9*(1+L92)</f>
        <v>3247.5852719198424</v>
      </c>
      <c r="M9" s="81">
        <f>L9*(1+M92)</f>
        <v>3280.0611246390408</v>
      </c>
    </row>
    <row r="10" spans="1:16" x14ac:dyDescent="0.2">
      <c r="B10" s="77" t="s">
        <v>3</v>
      </c>
      <c r="C10" s="77"/>
      <c r="E10" s="81">
        <v>-2124.4</v>
      </c>
      <c r="F10" s="81">
        <v>-2185.8000000000002</v>
      </c>
      <c r="G10" s="81">
        <v>-2182</v>
      </c>
      <c r="H10" s="81">
        <f>G10-1634+1614</f>
        <v>-2202</v>
      </c>
      <c r="I10" s="81">
        <f>I9*-I94</f>
        <v>-2252.737619999999</v>
      </c>
      <c r="J10" s="81">
        <f>J9*-J94</f>
        <v>-2280.177215732499</v>
      </c>
      <c r="K10" s="81">
        <f>K9*-K94</f>
        <v>-2299.0331380422645</v>
      </c>
      <c r="L10" s="81">
        <f>L9*-L94</f>
        <v>-2312.2807136069277</v>
      </c>
      <c r="M10" s="81">
        <f>M9*-M94</f>
        <v>-2328.8433984937187</v>
      </c>
    </row>
    <row r="11" spans="1:16" x14ac:dyDescent="0.2">
      <c r="B11" s="3"/>
      <c r="C11" s="3"/>
      <c r="E11" s="81"/>
      <c r="F11" s="81"/>
      <c r="G11" s="81"/>
      <c r="H11" s="81"/>
      <c r="I11" s="81"/>
      <c r="J11" s="81"/>
      <c r="K11" s="81"/>
      <c r="L11" s="81"/>
      <c r="M11" s="81"/>
    </row>
    <row r="12" spans="1:16" x14ac:dyDescent="0.2">
      <c r="B12" s="4" t="s">
        <v>11</v>
      </c>
      <c r="C12" s="3"/>
      <c r="E12" s="82">
        <f>E9+E10</f>
        <v>815.29999999999973</v>
      </c>
      <c r="F12" s="82">
        <f t="shared" ref="F12:M12" si="0">F9+F10</f>
        <v>858.69999999999982</v>
      </c>
      <c r="G12" s="82">
        <f t="shared" si="0"/>
        <v>917.88999999999987</v>
      </c>
      <c r="H12" s="82">
        <f t="shared" si="0"/>
        <v>850.48999999999933</v>
      </c>
      <c r="I12" s="82">
        <f>I9+I10</f>
        <v>876.06462999999985</v>
      </c>
      <c r="J12" s="82">
        <f t="shared" si="0"/>
        <v>895.55706801749966</v>
      </c>
      <c r="K12" s="82">
        <f t="shared" si="0"/>
        <v>916.39782425460908</v>
      </c>
      <c r="L12" s="82">
        <f t="shared" si="0"/>
        <v>935.30455831291465</v>
      </c>
      <c r="M12" s="82">
        <f t="shared" si="0"/>
        <v>951.2177261453221</v>
      </c>
    </row>
    <row r="13" spans="1:16" x14ac:dyDescent="0.2">
      <c r="B13" s="4"/>
      <c r="C13" s="3"/>
      <c r="E13" s="82"/>
      <c r="F13" s="82"/>
      <c r="G13" s="82"/>
      <c r="H13" s="82"/>
      <c r="I13" s="81"/>
      <c r="J13" s="81"/>
      <c r="K13" s="81"/>
      <c r="L13" s="81"/>
      <c r="M13" s="81"/>
    </row>
    <row r="14" spans="1:16" x14ac:dyDescent="0.2">
      <c r="B14" s="77" t="s">
        <v>4</v>
      </c>
      <c r="C14" s="77"/>
      <c r="E14" s="81">
        <v>-391.2</v>
      </c>
      <c r="F14" s="81">
        <v>-445.8</v>
      </c>
      <c r="G14" s="81">
        <v>-461.3</v>
      </c>
      <c r="H14" s="81">
        <f>G14-321.5+346.2</f>
        <v>-436.59999999999997</v>
      </c>
      <c r="I14" s="81">
        <f>-I9*I96</f>
        <v>-442.72551837499981</v>
      </c>
      <c r="J14" s="81">
        <f>-J9*J96</f>
        <v>-447.77853400874977</v>
      </c>
      <c r="K14" s="81">
        <f>-K9*K96</f>
        <v>-450.16033472156232</v>
      </c>
      <c r="L14" s="81">
        <f>-L9*L96</f>
        <v>-454.661938068778</v>
      </c>
      <c r="M14" s="81">
        <f>-M9*M96</f>
        <v>-459.20855744946579</v>
      </c>
    </row>
    <row r="15" spans="1:16" x14ac:dyDescent="0.2">
      <c r="B15" s="77" t="s">
        <v>5</v>
      </c>
      <c r="C15" s="77"/>
      <c r="E15" s="81">
        <v>-48.7</v>
      </c>
      <c r="F15" s="81">
        <v>-72.5</v>
      </c>
      <c r="G15" s="81">
        <v>-69.5</v>
      </c>
      <c r="H15" s="81">
        <f>G15-48.9+50.2</f>
        <v>-68.2</v>
      </c>
      <c r="I15" s="81">
        <f>-I9*I98</f>
        <v>-69.45940994999998</v>
      </c>
      <c r="J15" s="81">
        <f>-J9*J98</f>
        <v>-70.183727670874973</v>
      </c>
      <c r="K15" s="81">
        <f>-K9*K98</f>
        <v>-70.739481170531207</v>
      </c>
      <c r="L15" s="81">
        <f>-L9*L98</f>
        <v>-71.446875982236534</v>
      </c>
      <c r="M15" s="81">
        <f>-M9*M98</f>
        <v>-72.161344742058887</v>
      </c>
    </row>
    <row r="16" spans="1:16" x14ac:dyDescent="0.2">
      <c r="B16" s="26" t="s">
        <v>50</v>
      </c>
      <c r="C16" s="26"/>
      <c r="D16" s="24"/>
      <c r="E16" s="83">
        <f t="shared" ref="E16:M16" si="1">E14+E15</f>
        <v>-439.9</v>
      </c>
      <c r="F16" s="83">
        <f t="shared" si="1"/>
        <v>-518.29999999999995</v>
      </c>
      <c r="G16" s="83">
        <f t="shared" si="1"/>
        <v>-530.79999999999995</v>
      </c>
      <c r="H16" s="83">
        <f t="shared" si="1"/>
        <v>-504.79999999999995</v>
      </c>
      <c r="I16" s="83">
        <f>I14+I15</f>
        <v>-512.18492832499976</v>
      </c>
      <c r="J16" s="83">
        <f t="shared" si="1"/>
        <v>-517.9622616796247</v>
      </c>
      <c r="K16" s="83">
        <f t="shared" si="1"/>
        <v>-520.89981589209356</v>
      </c>
      <c r="L16" s="83">
        <f t="shared" si="1"/>
        <v>-526.10881405101452</v>
      </c>
      <c r="M16" s="83">
        <f t="shared" si="1"/>
        <v>-531.36990219152472</v>
      </c>
    </row>
    <row r="17" spans="2:20" x14ac:dyDescent="0.2">
      <c r="B17" s="3"/>
      <c r="C17" s="3"/>
      <c r="E17" s="81"/>
      <c r="F17" s="81"/>
      <c r="G17" s="81"/>
      <c r="H17" s="81"/>
      <c r="I17" s="81"/>
      <c r="J17" s="81"/>
      <c r="K17" s="81"/>
      <c r="L17" s="81"/>
      <c r="M17" s="81"/>
    </row>
    <row r="18" spans="2:20" x14ac:dyDescent="0.2">
      <c r="B18" s="4" t="s">
        <v>78</v>
      </c>
      <c r="C18" s="3"/>
      <c r="E18" s="82">
        <f>E12+E14+E15</f>
        <v>375.39999999999975</v>
      </c>
      <c r="F18" s="82">
        <f t="shared" ref="F18:M18" si="2">F12+F14+F15</f>
        <v>340.39999999999981</v>
      </c>
      <c r="G18" s="82">
        <f t="shared" si="2"/>
        <v>387.08999999999986</v>
      </c>
      <c r="H18" s="82">
        <f t="shared" si="2"/>
        <v>345.68999999999937</v>
      </c>
      <c r="I18" s="82">
        <f>I12+I14+I15</f>
        <v>363.87970167500009</v>
      </c>
      <c r="J18" s="82">
        <f t="shared" si="2"/>
        <v>377.5948063378749</v>
      </c>
      <c r="K18" s="82">
        <f t="shared" si="2"/>
        <v>395.49800836251552</v>
      </c>
      <c r="L18" s="82">
        <f t="shared" si="2"/>
        <v>409.19574426190013</v>
      </c>
      <c r="M18" s="82">
        <f t="shared" si="2"/>
        <v>419.84782395379744</v>
      </c>
    </row>
    <row r="19" spans="2:20" x14ac:dyDescent="0.2">
      <c r="B19" s="4"/>
      <c r="C19" s="3"/>
      <c r="E19" s="82"/>
      <c r="F19" s="82"/>
      <c r="G19" s="82"/>
      <c r="H19" s="82"/>
      <c r="I19" s="81"/>
      <c r="J19" s="81"/>
      <c r="K19" s="81"/>
      <c r="L19" s="81"/>
      <c r="M19" s="81"/>
    </row>
    <row r="20" spans="2:20" x14ac:dyDescent="0.2">
      <c r="B20" s="77" t="s">
        <v>6</v>
      </c>
      <c r="C20" s="77"/>
      <c r="E20" s="81">
        <v>12.1</v>
      </c>
      <c r="F20" s="81">
        <v>22.8</v>
      </c>
      <c r="G20" s="81">
        <v>30.1</v>
      </c>
      <c r="H20" s="81">
        <f>G20+17.1-25.7</f>
        <v>21.500000000000004</v>
      </c>
      <c r="I20" s="81">
        <f>I169</f>
        <v>21.625</v>
      </c>
      <c r="J20" s="81">
        <f t="shared" ref="J20:M20" si="3">J169</f>
        <v>21.625</v>
      </c>
      <c r="K20" s="81">
        <f t="shared" si="3"/>
        <v>21.625</v>
      </c>
      <c r="L20" s="81">
        <f t="shared" si="3"/>
        <v>21.625</v>
      </c>
      <c r="M20" s="81">
        <f t="shared" si="3"/>
        <v>21.625</v>
      </c>
    </row>
    <row r="21" spans="2:20" x14ac:dyDescent="0.2">
      <c r="B21" s="77" t="s">
        <v>7</v>
      </c>
      <c r="C21" s="77"/>
      <c r="E21" s="81">
        <v>-66.5</v>
      </c>
      <c r="F21" s="81">
        <v>-109.6</v>
      </c>
      <c r="G21" s="81">
        <v>-139.19999999999999</v>
      </c>
      <c r="H21" s="81">
        <f>G21-91.3+104.6</f>
        <v>-125.9</v>
      </c>
      <c r="I21" s="81">
        <f>-I167*G46</f>
        <v>-119.75700000000001</v>
      </c>
      <c r="J21" s="81">
        <f>-J167*I46</f>
        <v>-112.40210899999998</v>
      </c>
      <c r="K21" s="81">
        <f>-K167*J46</f>
        <v>-111.05094557999999</v>
      </c>
      <c r="L21" s="81">
        <f>-L167*K46</f>
        <v>-125.70377793727754</v>
      </c>
      <c r="M21" s="81">
        <f>-M167*L46</f>
        <v>-107.63827417323589</v>
      </c>
    </row>
    <row r="22" spans="2:20" x14ac:dyDescent="0.2">
      <c r="B22" s="3"/>
      <c r="C22" s="3"/>
      <c r="E22" s="81"/>
      <c r="F22" s="81"/>
      <c r="G22" s="81"/>
      <c r="H22" s="81"/>
      <c r="I22" s="81"/>
      <c r="J22" s="81"/>
      <c r="K22" s="81"/>
      <c r="L22" s="81"/>
      <c r="M22" s="81"/>
    </row>
    <row r="23" spans="2:20" x14ac:dyDescent="0.2">
      <c r="B23" s="5" t="s">
        <v>12</v>
      </c>
      <c r="E23" s="82">
        <f>E18+E20+E21</f>
        <v>320.99999999999977</v>
      </c>
      <c r="F23" s="82">
        <f t="shared" ref="F23:M23" si="4">F18+F20+F21</f>
        <v>253.59999999999982</v>
      </c>
      <c r="G23" s="82">
        <f t="shared" si="4"/>
        <v>277.9899999999999</v>
      </c>
      <c r="H23" s="82">
        <f t="shared" si="4"/>
        <v>241.28999999999937</v>
      </c>
      <c r="I23" s="82">
        <f t="shared" ref="I23" si="5">I18+I20+I21</f>
        <v>265.74770167500009</v>
      </c>
      <c r="J23" s="82">
        <f t="shared" si="4"/>
        <v>286.8176973378749</v>
      </c>
      <c r="K23" s="82">
        <f t="shared" si="4"/>
        <v>306.07206278251556</v>
      </c>
      <c r="L23" s="82">
        <f t="shared" si="4"/>
        <v>305.11696632462258</v>
      </c>
      <c r="M23" s="82">
        <f t="shared" si="4"/>
        <v>333.83454978056159</v>
      </c>
    </row>
    <row r="24" spans="2:20" x14ac:dyDescent="0.2">
      <c r="B24" s="5"/>
      <c r="E24" s="82"/>
      <c r="F24" s="82"/>
      <c r="G24" s="82"/>
      <c r="H24" s="82"/>
      <c r="I24" s="81"/>
      <c r="J24" s="81"/>
      <c r="K24" s="81"/>
      <c r="L24" s="81"/>
      <c r="M24" s="81"/>
    </row>
    <row r="25" spans="2:20" x14ac:dyDescent="0.2">
      <c r="B25" t="s">
        <v>9</v>
      </c>
      <c r="E25" s="81">
        <v>-71.2</v>
      </c>
      <c r="F25" s="81">
        <v>-60.9</v>
      </c>
      <c r="G25" s="81">
        <v>-50.8</v>
      </c>
      <c r="H25" s="81">
        <f>G25-33.3+40.9</f>
        <v>-43.199999999999996</v>
      </c>
      <c r="I25" s="81">
        <f>I23*-I119</f>
        <v>-57.108224022938117</v>
      </c>
      <c r="J25" s="81">
        <f>J23*-J119</f>
        <v>-63.099893414332477</v>
      </c>
      <c r="K25" s="81">
        <f>K23*-K119</f>
        <v>-70.396574439978579</v>
      </c>
      <c r="L25" s="81">
        <f>L23*-L119</f>
        <v>-73.228071917909418</v>
      </c>
      <c r="M25" s="81">
        <f>M23*-M119</f>
        <v>-83.458637445140397</v>
      </c>
    </row>
    <row r="26" spans="2:20" x14ac:dyDescent="0.2">
      <c r="E26" s="81"/>
      <c r="F26" s="81"/>
      <c r="G26" s="81"/>
      <c r="H26" s="81"/>
      <c r="I26" s="81"/>
      <c r="J26" s="81"/>
      <c r="K26" s="81"/>
      <c r="L26" s="81"/>
      <c r="M26" s="81"/>
      <c r="P26" s="14"/>
    </row>
    <row r="27" spans="2:20" x14ac:dyDescent="0.2">
      <c r="B27" s="5" t="s">
        <v>10</v>
      </c>
      <c r="E27" s="82">
        <f>E23+E25</f>
        <v>249.79999999999978</v>
      </c>
      <c r="F27" s="82">
        <f t="shared" ref="F27:M27" si="6">F23+F25</f>
        <v>192.69999999999982</v>
      </c>
      <c r="G27" s="82">
        <f t="shared" si="6"/>
        <v>227.18999999999988</v>
      </c>
      <c r="H27" s="82">
        <f t="shared" si="6"/>
        <v>198.08999999999938</v>
      </c>
      <c r="I27" s="82">
        <f>I23+I25</f>
        <v>208.63947765206197</v>
      </c>
      <c r="J27" s="82">
        <f t="shared" si="6"/>
        <v>223.71780392354242</v>
      </c>
      <c r="K27" s="82">
        <f t="shared" si="6"/>
        <v>235.67548834253699</v>
      </c>
      <c r="L27" s="82">
        <f t="shared" si="6"/>
        <v>231.88889440671318</v>
      </c>
      <c r="M27" s="82">
        <f t="shared" si="6"/>
        <v>250.37591233542119</v>
      </c>
      <c r="P27" s="15"/>
    </row>
    <row r="28" spans="2:20" x14ac:dyDescent="0.2">
      <c r="T28" s="16"/>
    </row>
    <row r="29" spans="2:20" ht="17" thickBot="1" x14ac:dyDescent="0.25">
      <c r="B29" s="12"/>
      <c r="C29" s="12"/>
      <c r="D29" s="12"/>
      <c r="E29" s="31"/>
      <c r="F29" s="31" t="s">
        <v>48</v>
      </c>
      <c r="G29" s="31"/>
      <c r="H29" s="31"/>
      <c r="I29" s="32"/>
      <c r="J29" s="33"/>
      <c r="K29" s="33" t="s">
        <v>47</v>
      </c>
      <c r="L29" s="33"/>
      <c r="M29" s="33"/>
      <c r="T29" s="15"/>
    </row>
    <row r="30" spans="2:20" x14ac:dyDescent="0.2">
      <c r="B30" s="10" t="s">
        <v>13</v>
      </c>
      <c r="C30" s="10"/>
      <c r="D30" s="10"/>
      <c r="E30" s="13">
        <v>2022</v>
      </c>
      <c r="F30" s="13">
        <v>2023</v>
      </c>
      <c r="G30" s="13">
        <v>2024</v>
      </c>
      <c r="H30" s="13">
        <v>2025</v>
      </c>
      <c r="I30" s="30">
        <v>2026</v>
      </c>
      <c r="J30" s="29">
        <v>2027</v>
      </c>
      <c r="K30" s="20">
        <v>2028</v>
      </c>
      <c r="L30" s="20">
        <v>2029</v>
      </c>
      <c r="M30" s="20">
        <v>2030</v>
      </c>
      <c r="P30" s="15"/>
    </row>
    <row r="31" spans="2:20" x14ac:dyDescent="0.2">
      <c r="B31" s="5" t="s">
        <v>77</v>
      </c>
      <c r="P31" s="15"/>
    </row>
    <row r="32" spans="2:20" x14ac:dyDescent="0.2">
      <c r="B32" s="77" t="s">
        <v>14</v>
      </c>
      <c r="C32" s="77"/>
      <c r="E32" s="84">
        <v>2101</v>
      </c>
      <c r="F32" s="84">
        <v>2105</v>
      </c>
      <c r="G32" s="84">
        <v>2106.1</v>
      </c>
      <c r="H32" s="84">
        <v>2104.5</v>
      </c>
      <c r="I32" s="84">
        <f t="shared" ref="I32:M32" si="7">H32</f>
        <v>2104.5</v>
      </c>
      <c r="J32" s="84">
        <f t="shared" si="7"/>
        <v>2104.5</v>
      </c>
      <c r="K32" s="84">
        <f t="shared" si="7"/>
        <v>2104.5</v>
      </c>
      <c r="L32" s="84">
        <f t="shared" si="7"/>
        <v>2104.5</v>
      </c>
      <c r="M32" s="84">
        <f t="shared" si="7"/>
        <v>2104.5</v>
      </c>
      <c r="P32" s="15"/>
    </row>
    <row r="33" spans="2:16" x14ac:dyDescent="0.2">
      <c r="B33" s="77" t="s">
        <v>15</v>
      </c>
      <c r="C33" s="77"/>
      <c r="E33" s="84">
        <v>2457.6</v>
      </c>
      <c r="F33" s="84">
        <v>2468.1999999999998</v>
      </c>
      <c r="G33" s="84">
        <v>2472.9</v>
      </c>
      <c r="H33" s="84">
        <v>2474.3000000000002</v>
      </c>
      <c r="I33" s="84">
        <f t="shared" ref="I33:M33" si="8">H33+I113-I112</f>
        <v>2480.0666666666666</v>
      </c>
      <c r="J33" s="84">
        <f t="shared" si="8"/>
        <v>2485.833333333333</v>
      </c>
      <c r="K33" s="84">
        <f t="shared" si="8"/>
        <v>2491.5999999999995</v>
      </c>
      <c r="L33" s="84">
        <f t="shared" si="8"/>
        <v>2497.3666666666659</v>
      </c>
      <c r="M33" s="84">
        <f t="shared" si="8"/>
        <v>2503.1333333333323</v>
      </c>
      <c r="P33" s="15"/>
    </row>
    <row r="34" spans="2:16" x14ac:dyDescent="0.2">
      <c r="B34" s="77" t="s">
        <v>16</v>
      </c>
      <c r="C34" s="77"/>
      <c r="E34" s="84">
        <v>542.9</v>
      </c>
      <c r="F34" s="84">
        <v>563.70000000000005</v>
      </c>
      <c r="G34" s="84">
        <v>591.1</v>
      </c>
      <c r="H34" s="84">
        <v>582.5</v>
      </c>
      <c r="I34" s="84">
        <f t="shared" ref="I34:M34" si="9">H34+(-I115)+I116+I126+I128</f>
        <v>602.33333333333337</v>
      </c>
      <c r="J34" s="84">
        <f t="shared" si="9"/>
        <v>622.16666666666674</v>
      </c>
      <c r="K34" s="84">
        <f t="shared" si="9"/>
        <v>642.00000000000011</v>
      </c>
      <c r="L34" s="84">
        <f t="shared" si="9"/>
        <v>661.83333333333348</v>
      </c>
      <c r="M34" s="84">
        <f t="shared" si="9"/>
        <v>681.66666666666686</v>
      </c>
      <c r="P34" s="14"/>
    </row>
    <row r="35" spans="2:16" x14ac:dyDescent="0.2">
      <c r="B35" s="77" t="s">
        <v>83</v>
      </c>
      <c r="C35" s="77"/>
      <c r="E35" s="84">
        <f>8.1+1.8+20.1</f>
        <v>30</v>
      </c>
      <c r="F35" s="84">
        <f>7.1+0.5+1.9</f>
        <v>9.5</v>
      </c>
      <c r="G35" s="84">
        <f>8.6+0.5+21.2</f>
        <v>30.299999999999997</v>
      </c>
      <c r="H35" s="84">
        <f>9.3+5.4</f>
        <v>14.700000000000001</v>
      </c>
      <c r="I35" s="84">
        <f>I145*I9</f>
        <v>31.28802249999999</v>
      </c>
      <c r="J35" s="84">
        <f>J145*J9</f>
        <v>38.108811404999983</v>
      </c>
      <c r="K35" s="84">
        <f>K145*K9</f>
        <v>41.800602509859353</v>
      </c>
      <c r="L35" s="84">
        <f>L145*L9</f>
        <v>48.713779078797636</v>
      </c>
      <c r="M35" s="84">
        <f>M145*M9</f>
        <v>49.200916869585612</v>
      </c>
      <c r="P35" s="15"/>
    </row>
    <row r="36" spans="2:16" x14ac:dyDescent="0.2">
      <c r="B36" s="77" t="s">
        <v>66</v>
      </c>
      <c r="C36" s="77"/>
      <c r="E36" s="84">
        <f>100.4</f>
        <v>100.4</v>
      </c>
      <c r="F36" s="84">
        <f>106.9+40.7</f>
        <v>147.60000000000002</v>
      </c>
      <c r="G36" s="84">
        <f>14.7+47.6</f>
        <v>62.3</v>
      </c>
      <c r="H36" s="84">
        <f>36.4+2.8</f>
        <v>39.199999999999996</v>
      </c>
      <c r="I36" s="84">
        <f t="shared" ref="I36:M36" si="10">H36</f>
        <v>39.199999999999996</v>
      </c>
      <c r="J36" s="84">
        <f t="shared" si="10"/>
        <v>39.199999999999996</v>
      </c>
      <c r="K36" s="84">
        <f t="shared" si="10"/>
        <v>39.199999999999996</v>
      </c>
      <c r="L36" s="84">
        <f t="shared" si="10"/>
        <v>39.199999999999996</v>
      </c>
      <c r="M36" s="84">
        <f t="shared" si="10"/>
        <v>39.199999999999996</v>
      </c>
      <c r="P36" s="15"/>
    </row>
    <row r="37" spans="2:16" x14ac:dyDescent="0.2">
      <c r="B37" t="s">
        <v>17</v>
      </c>
      <c r="E37" s="84">
        <v>369.7</v>
      </c>
      <c r="F37" s="84">
        <v>412.9</v>
      </c>
      <c r="G37" s="84">
        <v>403.3</v>
      </c>
      <c r="H37" s="84">
        <v>193.6</v>
      </c>
      <c r="I37" s="84">
        <f t="shared" ref="I37" si="11">I87</f>
        <v>149.71487169664272</v>
      </c>
      <c r="J37" s="84">
        <f t="shared" ref="J37:M37" si="12">J87</f>
        <v>268.66554905901876</v>
      </c>
      <c r="K37" s="84">
        <f t="shared" si="12"/>
        <v>728.35992635683749</v>
      </c>
      <c r="L37" s="84">
        <f t="shared" si="12"/>
        <v>560.6774414560208</v>
      </c>
      <c r="M37" s="84">
        <f t="shared" si="12"/>
        <v>738.00844454089474</v>
      </c>
    </row>
    <row r="38" spans="2:16" x14ac:dyDescent="0.2">
      <c r="B38" t="s">
        <v>18</v>
      </c>
      <c r="E38" s="84">
        <v>457.1</v>
      </c>
      <c r="F38" s="84">
        <v>446.4</v>
      </c>
      <c r="G38" s="84">
        <v>441.5</v>
      </c>
      <c r="H38" s="84">
        <v>485.3</v>
      </c>
      <c r="I38" s="84">
        <f t="shared" ref="I38" si="13">I159</f>
        <v>493.75071123287648</v>
      </c>
      <c r="J38" s="84">
        <f t="shared" ref="J38:M38" si="14">J159</f>
        <v>487.27074747160253</v>
      </c>
      <c r="K38" s="84">
        <f t="shared" si="14"/>
        <v>485.00151131302562</v>
      </c>
      <c r="L38" s="84">
        <f t="shared" si="14"/>
        <v>481.46118968253836</v>
      </c>
      <c r="M38" s="84">
        <f t="shared" si="14"/>
        <v>478.52946544391477</v>
      </c>
    </row>
    <row r="39" spans="2:16" x14ac:dyDescent="0.2">
      <c r="B39" t="s">
        <v>19</v>
      </c>
      <c r="E39" s="84">
        <v>266.8</v>
      </c>
      <c r="F39" s="84">
        <v>263.39999999999998</v>
      </c>
      <c r="G39" s="84">
        <v>334.1</v>
      </c>
      <c r="H39" s="84">
        <v>419</v>
      </c>
      <c r="I39" s="84">
        <f>I154</f>
        <v>428.60304794520533</v>
      </c>
      <c r="J39" s="84">
        <f>J154</f>
        <v>391.52888429794501</v>
      </c>
      <c r="K39" s="84">
        <f>K154</f>
        <v>352.37599586815054</v>
      </c>
      <c r="L39" s="84">
        <f>L154</f>
        <v>347.00226193116123</v>
      </c>
      <c r="M39" s="84">
        <f>M154</f>
        <v>314.5264092119628</v>
      </c>
    </row>
    <row r="40" spans="2:16" x14ac:dyDescent="0.2">
      <c r="B40" s="24" t="s">
        <v>20</v>
      </c>
      <c r="E40" s="85">
        <f t="shared" ref="E40:H40" si="15">SUM(E32:E39)</f>
        <v>6325.5</v>
      </c>
      <c r="F40" s="85">
        <f t="shared" si="15"/>
        <v>6416.6999999999989</v>
      </c>
      <c r="G40" s="85">
        <f t="shared" si="15"/>
        <v>6441.6000000000013</v>
      </c>
      <c r="H40" s="85">
        <f t="shared" si="15"/>
        <v>6313.1</v>
      </c>
      <c r="I40" s="85">
        <f t="shared" ref="I40" si="16">SUM(I32:I39)</f>
        <v>6329.4566533747247</v>
      </c>
      <c r="J40" s="85">
        <f t="shared" ref="J40:M40" si="17">SUM(J32:J39)</f>
        <v>6437.2739922335668</v>
      </c>
      <c r="K40" s="85">
        <f t="shared" si="17"/>
        <v>6884.8380360478723</v>
      </c>
      <c r="L40" s="85">
        <f t="shared" si="17"/>
        <v>6740.754672148516</v>
      </c>
      <c r="M40" s="85">
        <f t="shared" si="17"/>
        <v>6908.7652360663578</v>
      </c>
    </row>
    <row r="41" spans="2:16" x14ac:dyDescent="0.2">
      <c r="B41" s="6"/>
      <c r="E41" s="86"/>
      <c r="F41" s="86"/>
      <c r="G41" s="86"/>
      <c r="H41" s="86"/>
      <c r="I41" s="84"/>
      <c r="J41" s="84"/>
      <c r="K41" s="84"/>
      <c r="L41" s="84"/>
      <c r="M41" s="84"/>
    </row>
    <row r="42" spans="2:16" x14ac:dyDescent="0.2">
      <c r="B42" s="24" t="s">
        <v>64</v>
      </c>
      <c r="E42" s="84"/>
      <c r="F42" s="84"/>
      <c r="G42" s="84"/>
      <c r="H42" s="84"/>
      <c r="I42" s="84"/>
      <c r="J42" s="84"/>
      <c r="K42" s="84"/>
      <c r="L42" s="84"/>
      <c r="M42" s="84"/>
    </row>
    <row r="43" spans="2:16" x14ac:dyDescent="0.2">
      <c r="B43" t="s">
        <v>21</v>
      </c>
      <c r="E43" s="84">
        <v>695.4</v>
      </c>
      <c r="F43" s="84">
        <v>769.8</v>
      </c>
      <c r="G43" s="84">
        <v>829.1</v>
      </c>
      <c r="H43" s="84">
        <v>844.7</v>
      </c>
      <c r="I43" s="84">
        <f>I162*-I16</f>
        <v>804.13033747024963</v>
      </c>
      <c r="J43" s="84">
        <f>J162*-J16</f>
        <v>818.38037345380712</v>
      </c>
      <c r="K43" s="84">
        <f>K162*-K16</f>
        <v>828.23070726842877</v>
      </c>
      <c r="L43" s="84">
        <f>L162*-L16</f>
        <v>841.77410248162323</v>
      </c>
      <c r="M43" s="84">
        <f>M162*-M16</f>
        <v>850.19184350643957</v>
      </c>
    </row>
    <row r="44" spans="2:16" x14ac:dyDescent="0.2">
      <c r="B44" s="7" t="s">
        <v>22</v>
      </c>
      <c r="E44" s="84">
        <f>36.1+1.3</f>
        <v>37.4</v>
      </c>
      <c r="F44" s="84">
        <f>35.1+1.4</f>
        <v>36.5</v>
      </c>
      <c r="G44" s="84">
        <f>27.1+2.7</f>
        <v>29.8</v>
      </c>
      <c r="H44" s="84">
        <v>25.8</v>
      </c>
      <c r="I44" s="84">
        <f>-I148*I16</f>
        <v>28.170171057874988</v>
      </c>
      <c r="J44" s="84">
        <f>-J148*J16</f>
        <v>27.969962130699734</v>
      </c>
      <c r="K44" s="84">
        <f>-K148*K16</f>
        <v>27.086790426388863</v>
      </c>
      <c r="L44" s="84">
        <f>-L148*L16</f>
        <v>27.883767144703768</v>
      </c>
      <c r="M44" s="84">
        <f>-M148*M16</f>
        <v>26.568495109576237</v>
      </c>
    </row>
    <row r="45" spans="2:16" x14ac:dyDescent="0.2">
      <c r="B45" t="s">
        <v>24</v>
      </c>
      <c r="E45" s="84">
        <f>445.1+183</f>
        <v>628.1</v>
      </c>
      <c r="F45" s="84">
        <f>425.1+189.5</f>
        <v>614.6</v>
      </c>
      <c r="G45" s="84">
        <f>292.7+226.7</f>
        <v>519.4</v>
      </c>
      <c r="H45" s="84">
        <f>285.7+197.7</f>
        <v>483.4</v>
      </c>
      <c r="I45" s="84">
        <f t="shared" ref="I45:M45" si="18">H45+(I60+I63)</f>
        <v>468.32045118064593</v>
      </c>
      <c r="J45" s="84">
        <f t="shared" si="18"/>
        <v>458.85546716849609</v>
      </c>
      <c r="K45" s="84">
        <f t="shared" si="18"/>
        <v>451.81580972449819</v>
      </c>
      <c r="L45" s="84">
        <f t="shared" si="18"/>
        <v>448.15440612860272</v>
      </c>
      <c r="M45" s="84">
        <f t="shared" si="18"/>
        <v>448.15440612860272</v>
      </c>
      <c r="O45" s="2"/>
    </row>
    <row r="46" spans="2:16" x14ac:dyDescent="0.2">
      <c r="B46" t="s">
        <v>23</v>
      </c>
      <c r="E46" s="84">
        <f>2142.3+22.6</f>
        <v>2164.9</v>
      </c>
      <c r="F46" s="84">
        <f>2113.7+21.4</f>
        <v>2135.1</v>
      </c>
      <c r="G46" s="84">
        <f>2151.4+26</f>
        <v>2177.4</v>
      </c>
      <c r="H46" s="84">
        <f>2077.5+28.5</f>
        <v>2106</v>
      </c>
      <c r="I46" s="84">
        <f t="shared" ref="I46:M46" si="19">H46+I128+I78+I77+I79+I80</f>
        <v>2100.9739999999997</v>
      </c>
      <c r="J46" s="84">
        <f t="shared" si="19"/>
        <v>2095.3008599999998</v>
      </c>
      <c r="K46" s="84">
        <f t="shared" si="19"/>
        <v>2417.380344947645</v>
      </c>
      <c r="L46" s="84">
        <f t="shared" si="19"/>
        <v>2110.554395553645</v>
      </c>
      <c r="M46" s="84">
        <f t="shared" si="19"/>
        <v>2108.8874988789853</v>
      </c>
    </row>
    <row r="47" spans="2:16" x14ac:dyDescent="0.2">
      <c r="B47" t="s">
        <v>82</v>
      </c>
      <c r="E47" s="84">
        <f>1.1+132.1+60.3</f>
        <v>193.5</v>
      </c>
      <c r="F47" s="84">
        <f>0.5+158.3+110</f>
        <v>268.8</v>
      </c>
      <c r="G47" s="84">
        <f>0.5+152.1+60.8</f>
        <v>213.39999999999998</v>
      </c>
      <c r="H47" s="84">
        <f>147+130.1+18.6+0.4+2.8</f>
        <v>298.90000000000003</v>
      </c>
      <c r="I47" s="84">
        <f>-I16*I149</f>
        <v>307.31095699499986</v>
      </c>
      <c r="J47" s="84">
        <f>-J16*J149</f>
        <v>315.95697962457103</v>
      </c>
      <c r="K47" s="84">
        <f>-K16*K149</f>
        <v>322.95788585309799</v>
      </c>
      <c r="L47" s="84">
        <f>-L16*L149</f>
        <v>331.44855285213913</v>
      </c>
      <c r="M47" s="84">
        <f>-M16*M149</f>
        <v>340.07673740257582</v>
      </c>
    </row>
    <row r="48" spans="2:16" x14ac:dyDescent="0.2">
      <c r="B48" s="5" t="s">
        <v>65</v>
      </c>
      <c r="E48" s="86">
        <f t="shared" ref="E48:I48" si="20">SUM(E43:E47)</f>
        <v>3719.3</v>
      </c>
      <c r="F48" s="86">
        <f t="shared" si="20"/>
        <v>3824.8</v>
      </c>
      <c r="G48" s="86">
        <f t="shared" si="20"/>
        <v>3769.1</v>
      </c>
      <c r="H48" s="86">
        <f t="shared" si="20"/>
        <v>3758.8</v>
      </c>
      <c r="I48" s="86">
        <f t="shared" ref="I48" si="21">SUM(I43:I47)</f>
        <v>3708.9059167037699</v>
      </c>
      <c r="J48" s="86">
        <f t="shared" ref="J48:M48" si="22">SUM(J43:J47)</f>
        <v>3716.4636423775737</v>
      </c>
      <c r="K48" s="86">
        <f t="shared" si="22"/>
        <v>4047.4715382200588</v>
      </c>
      <c r="L48" s="86">
        <f t="shared" si="22"/>
        <v>3759.815224160714</v>
      </c>
      <c r="M48" s="86">
        <f t="shared" si="22"/>
        <v>3773.8789810261796</v>
      </c>
    </row>
    <row r="49" spans="2:16" x14ac:dyDescent="0.2">
      <c r="E49" s="84"/>
      <c r="F49" s="84"/>
      <c r="G49" s="84"/>
      <c r="H49" s="84"/>
      <c r="I49" s="84"/>
      <c r="J49" s="84"/>
      <c r="K49" s="84"/>
      <c r="L49" s="84"/>
      <c r="M49" s="84"/>
    </row>
    <row r="50" spans="2:16" x14ac:dyDescent="0.2">
      <c r="B50" s="6" t="s">
        <v>25</v>
      </c>
      <c r="E50" s="85">
        <f>2606.2</f>
        <v>2606.1999999999998</v>
      </c>
      <c r="F50" s="86">
        <v>2591.9</v>
      </c>
      <c r="G50" s="86">
        <f>2662.5+10</f>
        <v>2672.5</v>
      </c>
      <c r="H50" s="86">
        <v>2554.3000000000002</v>
      </c>
      <c r="I50" s="85">
        <f>H50+I27+I57+I74+I75+I76+I81+I70-I59-12.84-2.37</f>
        <v>2620.5486865912376</v>
      </c>
      <c r="J50" s="85">
        <f>I50+J27+J57+J74+J75+J76+J81+J70-J59+3.48-3.72</f>
        <v>2720.8143689453632</v>
      </c>
      <c r="K50" s="85">
        <f>J50+K27+K57+K74+K75+K76+K81+K70-K59+3.16-4.29</f>
        <v>2837.3646619508854</v>
      </c>
      <c r="L50" s="85">
        <f>K50+L27+L57+L74+L75+L76+L81+L70-L59+2.66-4.49</f>
        <v>2980.9429985949132</v>
      </c>
      <c r="M50" s="85">
        <f>L50+M27+M57+M74+M75+M76+M81+M70-M59+2.1-0.12-4.54</f>
        <v>3134.883545996166</v>
      </c>
    </row>
    <row r="52" spans="2:16" x14ac:dyDescent="0.2">
      <c r="B52" s="8" t="s">
        <v>26</v>
      </c>
      <c r="C52" s="8"/>
      <c r="D52" s="8"/>
      <c r="E52" s="9">
        <f t="shared" ref="E52:M52" si="23">E50+E48-E40</f>
        <v>0</v>
      </c>
      <c r="F52" s="9">
        <f t="shared" si="23"/>
        <v>0</v>
      </c>
      <c r="G52" s="9">
        <f t="shared" si="23"/>
        <v>0</v>
      </c>
      <c r="H52" s="9">
        <f t="shared" si="23"/>
        <v>0</v>
      </c>
      <c r="I52" s="78">
        <f>I40-I48-I50</f>
        <v>2.0500797172644525E-3</v>
      </c>
      <c r="J52" s="78">
        <f t="shared" si="23"/>
        <v>4.0190893696490093E-3</v>
      </c>
      <c r="K52" s="78">
        <f t="shared" si="23"/>
        <v>-1.8358769275437226E-3</v>
      </c>
      <c r="L52" s="78">
        <f t="shared" si="23"/>
        <v>3.5506071108102333E-3</v>
      </c>
      <c r="M52" s="78">
        <f t="shared" si="23"/>
        <v>-2.7090440125903115E-3</v>
      </c>
    </row>
    <row r="54" spans="2:16" ht="17" thickBot="1" x14ac:dyDescent="0.25">
      <c r="B54" s="12"/>
      <c r="C54" s="12"/>
      <c r="D54" s="12"/>
      <c r="E54" s="31"/>
      <c r="F54" s="31" t="s">
        <v>48</v>
      </c>
      <c r="G54" s="31"/>
      <c r="H54" s="31"/>
      <c r="I54" s="32"/>
      <c r="J54" s="33"/>
      <c r="K54" s="33" t="s">
        <v>47</v>
      </c>
      <c r="L54" s="33"/>
      <c r="M54" s="33"/>
      <c r="P54" s="2"/>
    </row>
    <row r="55" spans="2:16" x14ac:dyDescent="0.2">
      <c r="B55" s="10" t="s">
        <v>27</v>
      </c>
      <c r="C55" s="10"/>
      <c r="D55" s="10"/>
      <c r="E55" s="13">
        <v>2022</v>
      </c>
      <c r="F55" s="13">
        <v>2023</v>
      </c>
      <c r="G55" s="13">
        <v>2024</v>
      </c>
      <c r="H55" s="13">
        <v>2025</v>
      </c>
      <c r="I55" s="30">
        <v>2026</v>
      </c>
      <c r="J55" s="29">
        <v>2027</v>
      </c>
      <c r="K55" s="20">
        <v>2028</v>
      </c>
      <c r="L55" s="20">
        <v>2029</v>
      </c>
      <c r="M55" s="20">
        <v>2030</v>
      </c>
      <c r="P55" s="15"/>
    </row>
    <row r="56" spans="2:16" x14ac:dyDescent="0.2">
      <c r="B56" t="s">
        <v>10</v>
      </c>
      <c r="E56" s="84">
        <f t="shared" ref="E56:M56" si="24">E27</f>
        <v>249.79999999999978</v>
      </c>
      <c r="F56" s="84">
        <f t="shared" si="24"/>
        <v>192.69999999999982</v>
      </c>
      <c r="G56" s="84">
        <f t="shared" si="24"/>
        <v>227.18999999999988</v>
      </c>
      <c r="H56" s="84">
        <f t="shared" si="24"/>
        <v>198.08999999999938</v>
      </c>
      <c r="I56" s="84">
        <f t="shared" si="24"/>
        <v>208.63947765206197</v>
      </c>
      <c r="J56" s="84">
        <f t="shared" si="24"/>
        <v>223.71780392354242</v>
      </c>
      <c r="K56" s="84">
        <f t="shared" si="24"/>
        <v>235.67548834253699</v>
      </c>
      <c r="L56" s="84">
        <f t="shared" si="24"/>
        <v>231.88889440671318</v>
      </c>
      <c r="M56" s="84">
        <f t="shared" si="24"/>
        <v>250.37591233542119</v>
      </c>
    </row>
    <row r="57" spans="2:16" x14ac:dyDescent="0.2">
      <c r="B57" t="s">
        <v>28</v>
      </c>
      <c r="E57" s="84">
        <v>8.1</v>
      </c>
      <c r="F57" s="84">
        <v>24.1</v>
      </c>
      <c r="G57" s="84">
        <v>8.8000000000000007</v>
      </c>
      <c r="H57" s="84">
        <f>G57+6.7-8.5</f>
        <v>7</v>
      </c>
      <c r="I57" s="84">
        <f>I101</f>
        <v>12</v>
      </c>
      <c r="J57" s="84">
        <f t="shared" ref="J57:M57" si="25">J101</f>
        <v>12</v>
      </c>
      <c r="K57" s="84">
        <f t="shared" si="25"/>
        <v>12</v>
      </c>
      <c r="L57" s="84">
        <f t="shared" si="25"/>
        <v>12</v>
      </c>
      <c r="M57" s="84">
        <f t="shared" si="25"/>
        <v>12</v>
      </c>
    </row>
    <row r="58" spans="2:16" x14ac:dyDescent="0.2">
      <c r="B58" t="s">
        <v>29</v>
      </c>
      <c r="E58" s="84">
        <v>88.6</v>
      </c>
      <c r="F58" s="84">
        <v>95</v>
      </c>
      <c r="G58" s="84">
        <v>96.9</v>
      </c>
      <c r="H58" s="84">
        <f>G58+79.9-71.4</f>
        <v>105.4</v>
      </c>
      <c r="I58" s="84">
        <f>(I126+I113+I116)*-1</f>
        <v>93.700000000000017</v>
      </c>
      <c r="J58" s="84">
        <f t="shared" ref="J58:M58" si="26">(J126+J113+J116)*-1</f>
        <v>93.700000000000017</v>
      </c>
      <c r="K58" s="84">
        <f t="shared" si="26"/>
        <v>93.700000000000017</v>
      </c>
      <c r="L58" s="84">
        <f t="shared" si="26"/>
        <v>93.700000000000017</v>
      </c>
      <c r="M58" s="84">
        <f t="shared" si="26"/>
        <v>93.700000000000017</v>
      </c>
    </row>
    <row r="59" spans="2:16" x14ac:dyDescent="0.2">
      <c r="B59" s="77" t="s">
        <v>30</v>
      </c>
      <c r="C59" s="77"/>
      <c r="E59" s="84">
        <v>0.8</v>
      </c>
      <c r="F59" s="84">
        <v>1.2</v>
      </c>
      <c r="G59" s="84">
        <v>1.6</v>
      </c>
      <c r="H59" s="84">
        <f>G59+0.8-0.2</f>
        <v>2.2000000000000002</v>
      </c>
      <c r="I59" s="84">
        <f>I103</f>
        <v>1.4500000000000002</v>
      </c>
      <c r="J59" s="84">
        <f t="shared" ref="J59:M59" si="27">J103</f>
        <v>1.4500000000000002</v>
      </c>
      <c r="K59" s="84">
        <f t="shared" si="27"/>
        <v>1.4500000000000002</v>
      </c>
      <c r="L59" s="84">
        <f t="shared" si="27"/>
        <v>1.4500000000000002</v>
      </c>
      <c r="M59" s="84">
        <f t="shared" si="27"/>
        <v>1.4500000000000002</v>
      </c>
    </row>
    <row r="60" spans="2:16" x14ac:dyDescent="0.2">
      <c r="B60" t="s">
        <v>31</v>
      </c>
      <c r="E60" s="84">
        <v>71.2</v>
      </c>
      <c r="F60" s="84">
        <v>60.9</v>
      </c>
      <c r="G60" s="84">
        <v>50.8</v>
      </c>
      <c r="H60" s="84">
        <f>G60+33.3-40.9</f>
        <v>43.199999999999996</v>
      </c>
      <c r="I60" s="84">
        <f>-I25</f>
        <v>57.108224022938117</v>
      </c>
      <c r="J60" s="84">
        <f>-J25</f>
        <v>63.099893414332477</v>
      </c>
      <c r="K60" s="84">
        <f>-K25</f>
        <v>70.396574439978579</v>
      </c>
      <c r="L60" s="84">
        <f>-L25</f>
        <v>73.228071917909418</v>
      </c>
      <c r="M60" s="84">
        <f>-M25</f>
        <v>83.458637445140397</v>
      </c>
    </row>
    <row r="61" spans="2:16" x14ac:dyDescent="0.2">
      <c r="B61" t="s">
        <v>32</v>
      </c>
      <c r="E61" s="84">
        <f>-61.7-38.3+5.6-2.4</f>
        <v>-96.800000000000011</v>
      </c>
      <c r="F61" s="84">
        <f>18.8+0.3+42.1-3.2</f>
        <v>58</v>
      </c>
      <c r="G61" s="84">
        <f>-1.2-75+68.6-4</f>
        <v>-11.600000000000009</v>
      </c>
      <c r="H61" s="84">
        <f>G61+113.9-132.6</f>
        <v>-30.299999999999997</v>
      </c>
      <c r="I61" s="84">
        <f>G39-I39+G38-I38+G35-I35+I43-G43+I44-G44+I47-G47</f>
        <v>-80.430316154957325</v>
      </c>
      <c r="J61" s="84">
        <f>I35-J35+I38-J38+I39-J39+J43-I43+J44-I44+J47-I47</f>
        <v>59.429188189487661</v>
      </c>
      <c r="K61" s="84">
        <f>J35-K35+J38-K38+J39-K39+K43-J43+K44-J44+K47-J47</f>
        <v>53.698401822349751</v>
      </c>
      <c r="L61" s="84">
        <f>K35-L35+K38-L38+K39-L39+L43-K43+L44-K44+L47-K47</f>
        <v>24.831917929088775</v>
      </c>
      <c r="M61" s="84">
        <f>L35-M35+L38-M38+L39-M39+M43-L43+M44-L44+M47-L47</f>
        <v>50.651092707159535</v>
      </c>
    </row>
    <row r="62" spans="2:16" x14ac:dyDescent="0.2">
      <c r="E62" s="84"/>
      <c r="F62" s="84"/>
      <c r="G62" s="84"/>
      <c r="H62" s="84"/>
      <c r="I62" s="84"/>
      <c r="J62" s="84"/>
      <c r="K62" s="84"/>
      <c r="L62" s="84"/>
      <c r="M62" s="84"/>
    </row>
    <row r="63" spans="2:16" x14ac:dyDescent="0.2">
      <c r="B63" t="s">
        <v>33</v>
      </c>
      <c r="E63" s="84">
        <v>-49.1</v>
      </c>
      <c r="F63" s="84">
        <v>-92.8</v>
      </c>
      <c r="G63" s="84">
        <v>-80.2</v>
      </c>
      <c r="H63" s="84">
        <f>G63-54.7+29.2</f>
        <v>-105.7</v>
      </c>
      <c r="I63" s="84">
        <f>I25*I121</f>
        <v>-72.187772842292176</v>
      </c>
      <c r="J63" s="84">
        <f>J25*J121</f>
        <v>-72.56487742648234</v>
      </c>
      <c r="K63" s="84">
        <f>K25*K121</f>
        <v>-77.436231883976447</v>
      </c>
      <c r="L63" s="84">
        <f>L25*L121</f>
        <v>-76.889475513804896</v>
      </c>
      <c r="M63" s="84">
        <f>M25*M121</f>
        <v>-83.458637445140397</v>
      </c>
    </row>
    <row r="64" spans="2:16" x14ac:dyDescent="0.2">
      <c r="E64" s="84"/>
      <c r="F64" s="84"/>
      <c r="G64" s="84"/>
      <c r="H64" s="84"/>
      <c r="I64" s="84"/>
      <c r="J64" s="84"/>
      <c r="K64" s="84"/>
      <c r="L64" s="84"/>
      <c r="M64" s="84"/>
    </row>
    <row r="65" spans="2:13" x14ac:dyDescent="0.2">
      <c r="B65" s="6" t="s">
        <v>34</v>
      </c>
      <c r="E65" s="86">
        <f t="shared" ref="E65:M65" si="28">SUM(E56:E61)+SUM(E63:E63)</f>
        <v>272.59999999999974</v>
      </c>
      <c r="F65" s="86">
        <f t="shared" si="28"/>
        <v>339.0999999999998</v>
      </c>
      <c r="G65" s="86">
        <f t="shared" si="28"/>
        <v>293.4899999999999</v>
      </c>
      <c r="H65" s="86">
        <f t="shared" si="28"/>
        <v>219.88999999999936</v>
      </c>
      <c r="I65" s="86">
        <f t="shared" si="28"/>
        <v>220.27961267775061</v>
      </c>
      <c r="J65" s="86">
        <f t="shared" si="28"/>
        <v>380.83200810088027</v>
      </c>
      <c r="K65" s="86">
        <f t="shared" si="28"/>
        <v>389.48423272088883</v>
      </c>
      <c r="L65" s="86">
        <f t="shared" si="28"/>
        <v>360.20940873990645</v>
      </c>
      <c r="M65" s="86">
        <f t="shared" si="28"/>
        <v>408.17700504258073</v>
      </c>
    </row>
    <row r="66" spans="2:13" x14ac:dyDescent="0.2">
      <c r="E66" s="84"/>
      <c r="F66" s="84"/>
      <c r="G66" s="84"/>
      <c r="H66" s="84"/>
      <c r="I66" s="84"/>
      <c r="J66" s="84"/>
      <c r="K66" s="84"/>
      <c r="L66" s="84"/>
      <c r="M66" s="84"/>
    </row>
    <row r="67" spans="2:13" x14ac:dyDescent="0.2">
      <c r="B67" t="s">
        <v>35</v>
      </c>
      <c r="E67" s="84">
        <v>0.4</v>
      </c>
      <c r="F67" s="84">
        <v>0</v>
      </c>
      <c r="G67" s="84">
        <v>0</v>
      </c>
      <c r="H67" s="84">
        <v>0</v>
      </c>
      <c r="I67" s="84">
        <v>0</v>
      </c>
      <c r="J67" s="84">
        <v>0</v>
      </c>
      <c r="K67" s="84">
        <v>0</v>
      </c>
      <c r="L67" s="84">
        <v>0</v>
      </c>
      <c r="M67" s="84">
        <v>0</v>
      </c>
    </row>
    <row r="68" spans="2:13" x14ac:dyDescent="0.2">
      <c r="B68" t="s">
        <v>36</v>
      </c>
      <c r="E68" s="84">
        <f>-79.1+13.9</f>
        <v>-65.199999999999989</v>
      </c>
      <c r="F68" s="84">
        <f>-82.4+13.9</f>
        <v>-68.5</v>
      </c>
      <c r="G68" s="84">
        <f>-80.3+14.8</f>
        <v>-65.5</v>
      </c>
      <c r="H68" s="84">
        <f>G68-59.6+55.9</f>
        <v>-69.199999999999989</v>
      </c>
      <c r="I68" s="84">
        <f>-I9*I105</f>
        <v>-69.20794992028307</v>
      </c>
      <c r="J68" s="84">
        <f>-J9*J105</f>
        <v>-70.24606916908732</v>
      </c>
      <c r="K68" s="84">
        <f>-K9*K105</f>
        <v>-71.124145033700913</v>
      </c>
      <c r="L68" s="84">
        <f>-L9*L105</f>
        <v>-71.835386484037926</v>
      </c>
      <c r="M68" s="84">
        <f>-M9*M105</f>
        <v>-72.553740348878293</v>
      </c>
    </row>
    <row r="69" spans="2:13" x14ac:dyDescent="0.2">
      <c r="B69" t="s">
        <v>104</v>
      </c>
      <c r="E69" s="84">
        <v>-13.9</v>
      </c>
      <c r="F69" s="84">
        <v>-13.9</v>
      </c>
      <c r="G69" s="84">
        <v>-14.8</v>
      </c>
      <c r="H69" s="84">
        <v>0</v>
      </c>
      <c r="I69" s="84">
        <f>I112</f>
        <v>-14.200000000000001</v>
      </c>
      <c r="J69" s="84">
        <f t="shared" ref="J69:M69" si="29">J112</f>
        <v>-14.200000000000001</v>
      </c>
      <c r="K69" s="84">
        <f t="shared" si="29"/>
        <v>-14.200000000000001</v>
      </c>
      <c r="L69" s="84">
        <f t="shared" si="29"/>
        <v>-14.200000000000001</v>
      </c>
      <c r="M69" s="84">
        <f t="shared" si="29"/>
        <v>-14.200000000000001</v>
      </c>
    </row>
    <row r="70" spans="2:13" x14ac:dyDescent="0.2">
      <c r="B70" t="s">
        <v>37</v>
      </c>
      <c r="E70" s="84">
        <v>0</v>
      </c>
      <c r="F70" s="84">
        <v>0.3</v>
      </c>
      <c r="G70" s="84">
        <v>5.7</v>
      </c>
      <c r="H70" s="84">
        <v>0</v>
      </c>
      <c r="I70" s="84">
        <f>I107</f>
        <v>1.5</v>
      </c>
      <c r="J70" s="84">
        <f t="shared" ref="J70:M70" si="30">J107</f>
        <v>1.5</v>
      </c>
      <c r="K70" s="84">
        <f t="shared" si="30"/>
        <v>1.5</v>
      </c>
      <c r="L70" s="84">
        <f t="shared" si="30"/>
        <v>1.5</v>
      </c>
      <c r="M70" s="84">
        <f t="shared" si="30"/>
        <v>1.5</v>
      </c>
    </row>
    <row r="71" spans="2:13" x14ac:dyDescent="0.2">
      <c r="E71" s="84"/>
      <c r="F71" s="84"/>
      <c r="G71" s="84"/>
      <c r="H71" s="84"/>
      <c r="I71" s="84"/>
      <c r="J71" s="84"/>
      <c r="K71" s="84"/>
      <c r="L71" s="84"/>
      <c r="M71" s="84"/>
    </row>
    <row r="72" spans="2:13" x14ac:dyDescent="0.2">
      <c r="B72" s="6" t="s">
        <v>46</v>
      </c>
      <c r="E72" s="86">
        <f t="shared" ref="E72:M72" si="31">SUM(E67:E70)</f>
        <v>-78.699999999999989</v>
      </c>
      <c r="F72" s="86">
        <f t="shared" si="31"/>
        <v>-82.100000000000009</v>
      </c>
      <c r="G72" s="86">
        <f t="shared" si="31"/>
        <v>-74.599999999999994</v>
      </c>
      <c r="H72" s="86">
        <f t="shared" si="31"/>
        <v>-69.199999999999989</v>
      </c>
      <c r="I72" s="86">
        <f t="shared" si="31"/>
        <v>-81.907949920283073</v>
      </c>
      <c r="J72" s="86">
        <f t="shared" si="31"/>
        <v>-82.946069169087323</v>
      </c>
      <c r="K72" s="86">
        <f t="shared" si="31"/>
        <v>-83.824145033700916</v>
      </c>
      <c r="L72" s="86">
        <f t="shared" si="31"/>
        <v>-84.535386484037929</v>
      </c>
      <c r="M72" s="86">
        <f t="shared" si="31"/>
        <v>-85.253740348878296</v>
      </c>
    </row>
    <row r="73" spans="2:13" x14ac:dyDescent="0.2">
      <c r="E73" s="84"/>
      <c r="F73" s="84"/>
      <c r="G73" s="84"/>
      <c r="H73" s="84"/>
      <c r="I73" s="84"/>
      <c r="J73" s="84"/>
      <c r="K73" s="84"/>
      <c r="L73" s="84"/>
      <c r="M73" s="84"/>
    </row>
    <row r="74" spans="2:13" x14ac:dyDescent="0.2">
      <c r="B74" t="s">
        <v>38</v>
      </c>
      <c r="E74" s="84">
        <v>-26.8</v>
      </c>
      <c r="F74" s="84">
        <v>-170.9</v>
      </c>
      <c r="G74" s="84">
        <v>-118.7</v>
      </c>
      <c r="H74" s="84">
        <f>G74-151.4+42.9</f>
        <v>-227.20000000000002</v>
      </c>
      <c r="I74" s="84">
        <f>I141</f>
        <v>-50</v>
      </c>
      <c r="J74" s="84">
        <f t="shared" ref="J74:M74" si="32">J141</f>
        <v>-40</v>
      </c>
      <c r="K74" s="84">
        <f t="shared" si="32"/>
        <v>-30</v>
      </c>
      <c r="L74" s="84">
        <f t="shared" si="32"/>
        <v>0</v>
      </c>
      <c r="M74" s="84">
        <f t="shared" si="32"/>
        <v>0</v>
      </c>
    </row>
    <row r="75" spans="2:13" x14ac:dyDescent="0.2">
      <c r="B75" t="s">
        <v>39</v>
      </c>
      <c r="E75" s="84">
        <v>0</v>
      </c>
      <c r="F75" s="84">
        <v>0</v>
      </c>
      <c r="G75" s="84">
        <v>-89.2</v>
      </c>
      <c r="H75" s="84">
        <f>G75-69.7+67.4</f>
        <v>-91.5</v>
      </c>
      <c r="I75" s="84">
        <f>I139</f>
        <v>-83.455791060824794</v>
      </c>
      <c r="J75" s="84">
        <f t="shared" ref="J75:M75" si="33">J139</f>
        <v>-89.487121569416971</v>
      </c>
      <c r="K75" s="84">
        <f t="shared" si="33"/>
        <v>-94.270195337014798</v>
      </c>
      <c r="L75" s="84">
        <f t="shared" si="33"/>
        <v>-92.755557762685271</v>
      </c>
      <c r="M75" s="84">
        <f t="shared" si="33"/>
        <v>-100.15036493416848</v>
      </c>
    </row>
    <row r="76" spans="2:13" x14ac:dyDescent="0.2">
      <c r="B76" t="s">
        <v>40</v>
      </c>
      <c r="E76" s="84">
        <v>-2.9</v>
      </c>
      <c r="F76" s="84">
        <v>-7.1</v>
      </c>
      <c r="G76" s="84">
        <v>-5.8</v>
      </c>
      <c r="H76" s="84">
        <f>G76-6.7+5.2</f>
        <v>-7.3</v>
      </c>
      <c r="I76" s="84">
        <f>I173</f>
        <v>-5.7750000000000004</v>
      </c>
      <c r="J76" s="84">
        <f>J173</f>
        <v>-5.7750000000000004</v>
      </c>
      <c r="K76" s="84">
        <f>K173</f>
        <v>-5.7750000000000004</v>
      </c>
      <c r="L76" s="84">
        <f>L173</f>
        <v>-5.7750000000000004</v>
      </c>
      <c r="M76" s="84">
        <f>M173</f>
        <v>-5.7750000000000004</v>
      </c>
    </row>
    <row r="77" spans="2:13" x14ac:dyDescent="0.2">
      <c r="B77" t="s">
        <v>98</v>
      </c>
      <c r="E77" s="84">
        <f>799.3-916.2</f>
        <v>-116.90000000000009</v>
      </c>
      <c r="F77" s="84">
        <f>6-12.6</f>
        <v>-6.6</v>
      </c>
      <c r="G77" s="84">
        <f>-6.5</f>
        <v>-6.5</v>
      </c>
      <c r="H77" s="84">
        <v>0</v>
      </c>
      <c r="I77" s="84">
        <f>-I177</f>
        <v>-6</v>
      </c>
      <c r="J77" s="84">
        <f t="shared" ref="J77:M77" si="34">-J177</f>
        <v>-6</v>
      </c>
      <c r="K77" s="84">
        <f t="shared" si="34"/>
        <v>-520</v>
      </c>
      <c r="L77" s="84">
        <f t="shared" si="34"/>
        <v>-306</v>
      </c>
      <c r="M77" s="84">
        <f t="shared" si="34"/>
        <v>0</v>
      </c>
    </row>
    <row r="78" spans="2:13" x14ac:dyDescent="0.2">
      <c r="B78" t="s">
        <v>101</v>
      </c>
      <c r="E78" s="84">
        <v>0</v>
      </c>
      <c r="F78" s="84">
        <v>0</v>
      </c>
      <c r="G78" s="84">
        <v>0</v>
      </c>
      <c r="H78" s="84">
        <v>0</v>
      </c>
      <c r="I78" s="84">
        <f>I183</f>
        <v>0</v>
      </c>
      <c r="J78" s="84">
        <f t="shared" ref="J78:M78" si="35">J183</f>
        <v>0</v>
      </c>
      <c r="K78" s="84">
        <f t="shared" si="35"/>
        <v>842.45591954764564</v>
      </c>
      <c r="L78" s="84">
        <f t="shared" si="35"/>
        <v>0</v>
      </c>
      <c r="M78" s="84">
        <f t="shared" si="35"/>
        <v>0</v>
      </c>
    </row>
    <row r="79" spans="2:13" x14ac:dyDescent="0.2">
      <c r="B79" t="s">
        <v>42</v>
      </c>
      <c r="E79" s="84">
        <v>-26.5</v>
      </c>
      <c r="F79" s="84">
        <v>-30.1</v>
      </c>
      <c r="G79" s="84">
        <v>-31.3</v>
      </c>
      <c r="H79" s="84">
        <f>G79-25.7+22.7</f>
        <v>-34.299999999999997</v>
      </c>
      <c r="I79" s="84">
        <f>I135</f>
        <v>-33.875999999999998</v>
      </c>
      <c r="J79" s="84">
        <f t="shared" ref="J79:M79" si="36">J135</f>
        <v>-35.360639999999997</v>
      </c>
      <c r="K79" s="84">
        <f t="shared" si="36"/>
        <v>-36.310809599999999</v>
      </c>
      <c r="L79" s="84">
        <f t="shared" si="36"/>
        <v>-36.918918143999996</v>
      </c>
      <c r="M79" s="84">
        <f t="shared" si="36"/>
        <v>-37.308107612160001</v>
      </c>
    </row>
    <row r="80" spans="2:13" x14ac:dyDescent="0.2">
      <c r="B80" t="s">
        <v>43</v>
      </c>
      <c r="E80" s="84">
        <v>-6.5</v>
      </c>
      <c r="F80" s="84">
        <v>-3.3</v>
      </c>
      <c r="G80" s="84">
        <v>-2.7</v>
      </c>
      <c r="H80" s="84">
        <f>G80-0.2+2.8</f>
        <v>-0.10000000000000053</v>
      </c>
      <c r="I80" s="84">
        <f>I171</f>
        <v>-3.1500000000000004</v>
      </c>
      <c r="J80" s="84">
        <f t="shared" ref="J80:M80" si="37">J171</f>
        <v>-2.3125</v>
      </c>
      <c r="K80" s="84">
        <f t="shared" si="37"/>
        <v>-2.0656250000000003</v>
      </c>
      <c r="L80" s="84">
        <f t="shared" si="37"/>
        <v>-1.9070312500000002</v>
      </c>
      <c r="M80" s="84">
        <f t="shared" si="37"/>
        <v>-2.3587890625000005</v>
      </c>
    </row>
    <row r="81" spans="2:16" x14ac:dyDescent="0.2">
      <c r="B81" t="s">
        <v>44</v>
      </c>
      <c r="E81" s="84">
        <f>124.8+0.9</f>
        <v>125.7</v>
      </c>
      <c r="F81" s="84">
        <f>-9.6</f>
        <v>-9.6</v>
      </c>
      <c r="G81" s="84">
        <v>0</v>
      </c>
      <c r="H81" s="84">
        <v>0</v>
      </c>
      <c r="I81" s="84">
        <f>I109</f>
        <v>0</v>
      </c>
      <c r="J81" s="84">
        <f t="shared" ref="J81:M81" si="38">J109</f>
        <v>0</v>
      </c>
      <c r="K81" s="84">
        <f t="shared" si="38"/>
        <v>0</v>
      </c>
      <c r="L81" s="84">
        <f t="shared" si="38"/>
        <v>0</v>
      </c>
      <c r="M81" s="84">
        <f t="shared" si="38"/>
        <v>0</v>
      </c>
    </row>
    <row r="82" spans="2:16" x14ac:dyDescent="0.2">
      <c r="E82" s="84"/>
      <c r="F82" s="84"/>
      <c r="G82" s="84"/>
      <c r="H82" s="84"/>
      <c r="I82" s="84"/>
      <c r="J82" s="84"/>
      <c r="K82" s="84"/>
      <c r="L82" s="84"/>
      <c r="M82" s="84"/>
    </row>
    <row r="83" spans="2:16" x14ac:dyDescent="0.2">
      <c r="B83" s="6" t="s">
        <v>45</v>
      </c>
      <c r="C83" s="6"/>
      <c r="D83" s="6"/>
      <c r="E83" s="86">
        <f t="shared" ref="E83:M83" si="39">SUM(E74:E81)</f>
        <v>-53.900000000000077</v>
      </c>
      <c r="F83" s="86">
        <f t="shared" si="39"/>
        <v>-227.6</v>
      </c>
      <c r="G83" s="86">
        <f t="shared" si="39"/>
        <v>-254.20000000000002</v>
      </c>
      <c r="H83" s="86">
        <f t="shared" si="39"/>
        <v>-360.40000000000009</v>
      </c>
      <c r="I83" s="86">
        <f t="shared" si="39"/>
        <v>-182.25679106082481</v>
      </c>
      <c r="J83" s="86">
        <f t="shared" si="39"/>
        <v>-178.93526156941695</v>
      </c>
      <c r="K83" s="86">
        <f t="shared" si="39"/>
        <v>154.03428961063085</v>
      </c>
      <c r="L83" s="86">
        <f t="shared" si="39"/>
        <v>-443.35650715668521</v>
      </c>
      <c r="M83" s="86">
        <f t="shared" si="39"/>
        <v>-145.59226160882847</v>
      </c>
    </row>
    <row r="84" spans="2:16" x14ac:dyDescent="0.2">
      <c r="E84" s="84"/>
      <c r="F84" s="84"/>
      <c r="G84" s="84"/>
      <c r="H84" s="84"/>
      <c r="I84" s="84"/>
      <c r="J84" s="84"/>
      <c r="K84" s="84"/>
      <c r="L84" s="84"/>
      <c r="M84" s="84"/>
    </row>
    <row r="85" spans="2:16" x14ac:dyDescent="0.2">
      <c r="B85" t="s">
        <v>87</v>
      </c>
      <c r="C85" s="24"/>
      <c r="D85" s="24"/>
      <c r="E85" s="85">
        <f>E83+E72+E65</f>
        <v>139.99999999999966</v>
      </c>
      <c r="F85" s="85">
        <f t="shared" ref="F85:M85" si="40">F65+F72+F83</f>
        <v>29.399999999999778</v>
      </c>
      <c r="G85" s="85">
        <f t="shared" si="40"/>
        <v>-35.310000000000116</v>
      </c>
      <c r="H85" s="85">
        <f t="shared" si="40"/>
        <v>-209.71000000000072</v>
      </c>
      <c r="I85" s="85">
        <f t="shared" si="40"/>
        <v>-43.885128303357277</v>
      </c>
      <c r="J85" s="85">
        <f t="shared" si="40"/>
        <v>118.95067736237601</v>
      </c>
      <c r="K85" s="85">
        <f t="shared" si="40"/>
        <v>459.69437729781873</v>
      </c>
      <c r="L85" s="85">
        <f t="shared" si="40"/>
        <v>-167.68248490081669</v>
      </c>
      <c r="M85" s="85">
        <f t="shared" si="40"/>
        <v>177.33100308487397</v>
      </c>
    </row>
    <row r="86" spans="2:16" x14ac:dyDescent="0.2">
      <c r="B86" t="s">
        <v>85</v>
      </c>
      <c r="E86" s="84"/>
      <c r="F86" s="84">
        <f>E87</f>
        <v>369.7</v>
      </c>
      <c r="G86" s="84">
        <f t="shared" ref="G86:M86" si="41">F87</f>
        <v>399.0999999999998</v>
      </c>
      <c r="H86" s="84">
        <f>G87</f>
        <v>403.3</v>
      </c>
      <c r="I86" s="84">
        <f>H87</f>
        <v>193.6</v>
      </c>
      <c r="J86" s="84">
        <f t="shared" si="41"/>
        <v>149.71487169664272</v>
      </c>
      <c r="K86" s="84">
        <f t="shared" si="41"/>
        <v>268.66554905901876</v>
      </c>
      <c r="L86" s="84">
        <f t="shared" si="41"/>
        <v>728.35992635683749</v>
      </c>
      <c r="M86" s="84">
        <f t="shared" si="41"/>
        <v>560.6774414560208</v>
      </c>
    </row>
    <row r="87" spans="2:16" x14ac:dyDescent="0.2">
      <c r="B87" s="24" t="s">
        <v>86</v>
      </c>
      <c r="C87" s="24"/>
      <c r="D87" s="24"/>
      <c r="E87" s="85">
        <f>E37</f>
        <v>369.7</v>
      </c>
      <c r="F87" s="85">
        <f>F86+F85</f>
        <v>399.0999999999998</v>
      </c>
      <c r="G87" s="85">
        <f>G37</f>
        <v>403.3</v>
      </c>
      <c r="H87" s="85">
        <f>H37</f>
        <v>193.6</v>
      </c>
      <c r="I87" s="85">
        <f t="shared" ref="I87:M87" si="42">I86+I85</f>
        <v>149.71487169664272</v>
      </c>
      <c r="J87" s="85">
        <f t="shared" si="42"/>
        <v>268.66554905901876</v>
      </c>
      <c r="K87" s="85">
        <f t="shared" si="42"/>
        <v>728.35992635683749</v>
      </c>
      <c r="L87" s="85">
        <f t="shared" si="42"/>
        <v>560.6774414560208</v>
      </c>
      <c r="M87" s="85">
        <f t="shared" si="42"/>
        <v>738.00844454089474</v>
      </c>
    </row>
    <row r="89" spans="2:16" ht="17" thickBot="1" x14ac:dyDescent="0.25">
      <c r="B89" s="12"/>
      <c r="C89" s="12"/>
      <c r="D89" s="12"/>
      <c r="E89" s="31"/>
      <c r="F89" s="31" t="s">
        <v>48</v>
      </c>
      <c r="G89" s="31"/>
      <c r="H89" s="31"/>
      <c r="I89" s="32"/>
      <c r="J89" s="33"/>
      <c r="K89" s="33" t="s">
        <v>47</v>
      </c>
      <c r="L89" s="33"/>
      <c r="M89" s="33"/>
    </row>
    <row r="90" spans="2:16" x14ac:dyDescent="0.2">
      <c r="B90" s="10" t="s">
        <v>49</v>
      </c>
      <c r="C90" s="10"/>
      <c r="D90" s="10"/>
      <c r="E90" s="13">
        <v>2022</v>
      </c>
      <c r="F90" s="13">
        <v>2023</v>
      </c>
      <c r="G90" s="13">
        <v>2024</v>
      </c>
      <c r="H90" s="13">
        <v>2025</v>
      </c>
      <c r="I90" s="30">
        <v>2026</v>
      </c>
      <c r="J90" s="29">
        <v>2027</v>
      </c>
      <c r="K90" s="20">
        <v>2028</v>
      </c>
      <c r="L90" s="20">
        <v>2029</v>
      </c>
      <c r="M90" s="20">
        <v>2030</v>
      </c>
      <c r="P90" s="15"/>
    </row>
    <row r="91" spans="2:16" ht="17" thickBot="1" x14ac:dyDescent="0.25">
      <c r="B91" s="18" t="s">
        <v>8</v>
      </c>
      <c r="C91" s="18"/>
      <c r="D91" s="17"/>
      <c r="E91" s="17"/>
      <c r="F91" s="17"/>
      <c r="G91" s="17"/>
      <c r="H91" s="17"/>
      <c r="I91" s="17"/>
      <c r="J91" s="17"/>
      <c r="K91" s="17"/>
      <c r="L91" s="17"/>
      <c r="M91" s="17"/>
    </row>
    <row r="92" spans="2:16" x14ac:dyDescent="0.2">
      <c r="B92" t="s">
        <v>54</v>
      </c>
      <c r="F92" s="19">
        <f>F9/E9-1</f>
        <v>3.564989624791659E-2</v>
      </c>
      <c r="G92" s="19">
        <f>G9/F9-1</f>
        <v>1.819346362292662E-2</v>
      </c>
      <c r="H92" s="19">
        <f>H9/G9-1</f>
        <v>-1.5290865159731659E-2</v>
      </c>
      <c r="I92" s="21">
        <v>2.5000000000000001E-2</v>
      </c>
      <c r="J92" s="21">
        <v>1.4999999999999999E-2</v>
      </c>
      <c r="K92" s="21">
        <v>1.2500000000000001E-2</v>
      </c>
      <c r="L92" s="21">
        <v>0.01</v>
      </c>
      <c r="M92" s="21">
        <v>0.01</v>
      </c>
    </row>
    <row r="94" spans="2:16" x14ac:dyDescent="0.2">
      <c r="B94" t="s">
        <v>195</v>
      </c>
      <c r="E94" s="19">
        <f>-E10/E9</f>
        <v>0.72265877470490192</v>
      </c>
      <c r="F94" s="19">
        <f>-F10/F9</f>
        <v>0.71795040236492036</v>
      </c>
      <c r="G94" s="19">
        <f>-G10/G9</f>
        <v>0.70389594469481176</v>
      </c>
      <c r="H94" s="19">
        <f>-H10/H9</f>
        <v>0.72137828461354514</v>
      </c>
      <c r="I94" s="21">
        <v>0.72</v>
      </c>
      <c r="J94" s="21">
        <v>0.71799999999999997</v>
      </c>
      <c r="K94" s="21">
        <v>0.71499999999999997</v>
      </c>
      <c r="L94" s="21">
        <v>0.71199999999999997</v>
      </c>
      <c r="M94" s="21">
        <v>0.71</v>
      </c>
    </row>
    <row r="96" spans="2:16" x14ac:dyDescent="0.2">
      <c r="B96" t="s">
        <v>51</v>
      </c>
      <c r="E96" s="19">
        <f>-E14/E9</f>
        <v>0.13307480355138279</v>
      </c>
      <c r="F96" s="19">
        <f>-F14/F9</f>
        <v>0.14642798489078668</v>
      </c>
      <c r="G96" s="19">
        <f>-G14/G9</f>
        <v>0.14881173202920103</v>
      </c>
      <c r="H96" s="19">
        <f>-H14/H9</f>
        <v>0.14303077159957939</v>
      </c>
      <c r="I96" s="21">
        <v>0.14149999999999999</v>
      </c>
      <c r="J96" s="21">
        <v>0.14099999999999999</v>
      </c>
      <c r="K96" s="21">
        <v>0.14000000000000001</v>
      </c>
      <c r="L96" s="21">
        <v>0.14000000000000001</v>
      </c>
      <c r="M96" s="21">
        <v>0.14000000000000001</v>
      </c>
    </row>
    <row r="98" spans="2:13" x14ac:dyDescent="0.2">
      <c r="B98" t="s">
        <v>52</v>
      </c>
      <c r="E98" s="19">
        <f>-E15/E9</f>
        <v>1.6566316290777972E-2</v>
      </c>
      <c r="F98" s="19">
        <f>-F15/F9</f>
        <v>2.3813434061422237E-2</v>
      </c>
      <c r="G98" s="19">
        <f>-G15/G9</f>
        <v>2.242015039243328E-2</v>
      </c>
      <c r="H98" s="19">
        <f>-H15/H9</f>
        <v>2.2342415536168839E-2</v>
      </c>
      <c r="I98" s="21">
        <v>2.2200000000000001E-2</v>
      </c>
      <c r="J98" s="21">
        <v>2.2100000000000002E-2</v>
      </c>
      <c r="K98" s="21">
        <v>2.1999999999999999E-2</v>
      </c>
      <c r="L98" s="21">
        <v>2.1999999999999999E-2</v>
      </c>
      <c r="M98" s="21">
        <v>2.1999999999999999E-2</v>
      </c>
    </row>
    <row r="100" spans="2:13" ht="17" thickBot="1" x14ac:dyDescent="0.25">
      <c r="B100" s="18" t="s">
        <v>27</v>
      </c>
      <c r="C100" s="18"/>
      <c r="D100" s="17"/>
      <c r="E100" s="17"/>
      <c r="F100" s="17"/>
      <c r="G100" s="17"/>
      <c r="H100" s="17"/>
      <c r="I100" s="17"/>
      <c r="J100" s="17"/>
      <c r="K100" s="17"/>
      <c r="L100" s="17"/>
      <c r="M100" s="17"/>
    </row>
    <row r="101" spans="2:13" x14ac:dyDescent="0.2">
      <c r="B101" t="s">
        <v>28</v>
      </c>
      <c r="E101" s="84">
        <f>E57</f>
        <v>8.1</v>
      </c>
      <c r="F101" s="84">
        <f>F57</f>
        <v>24.1</v>
      </c>
      <c r="G101" s="84">
        <f>G57</f>
        <v>8.8000000000000007</v>
      </c>
      <c r="H101" s="84">
        <f>H57</f>
        <v>7</v>
      </c>
      <c r="I101" s="22">
        <f>AVERAGE(E101:H101)</f>
        <v>12</v>
      </c>
      <c r="J101" s="22">
        <f>I101</f>
        <v>12</v>
      </c>
      <c r="K101" s="22">
        <f t="shared" ref="K101:L101" si="43">J101</f>
        <v>12</v>
      </c>
      <c r="L101" s="22">
        <f t="shared" si="43"/>
        <v>12</v>
      </c>
      <c r="M101" s="22">
        <f>L101</f>
        <v>12</v>
      </c>
    </row>
    <row r="103" spans="2:13" x14ac:dyDescent="0.2">
      <c r="B103" s="77" t="s">
        <v>30</v>
      </c>
      <c r="C103" s="77"/>
      <c r="E103" s="84">
        <f>E59</f>
        <v>0.8</v>
      </c>
      <c r="F103" s="84">
        <f>F59</f>
        <v>1.2</v>
      </c>
      <c r="G103" s="84">
        <f>G59</f>
        <v>1.6</v>
      </c>
      <c r="H103" s="84">
        <f>H59</f>
        <v>2.2000000000000002</v>
      </c>
      <c r="I103" s="22">
        <f>AVERAGE(E103:H103)</f>
        <v>1.4500000000000002</v>
      </c>
      <c r="J103" s="22">
        <f>I103</f>
        <v>1.4500000000000002</v>
      </c>
      <c r="K103" s="22">
        <f t="shared" ref="K103:M103" si="44">J103</f>
        <v>1.4500000000000002</v>
      </c>
      <c r="L103" s="22">
        <f t="shared" si="44"/>
        <v>1.4500000000000002</v>
      </c>
      <c r="M103" s="22">
        <f t="shared" si="44"/>
        <v>1.4500000000000002</v>
      </c>
    </row>
    <row r="105" spans="2:13" x14ac:dyDescent="0.2">
      <c r="B105" t="s">
        <v>53</v>
      </c>
      <c r="E105" s="19">
        <f>-E68/E9</f>
        <v>2.2179133925230462E-2</v>
      </c>
      <c r="F105" s="19">
        <f>-F68/F9</f>
        <v>2.2499589423550664E-2</v>
      </c>
      <c r="G105" s="19">
        <f>-G68/G9</f>
        <v>2.1129782024523452E-2</v>
      </c>
      <c r="H105" s="19">
        <f>-H68/H9</f>
        <v>2.2670016936992422E-2</v>
      </c>
      <c r="I105" s="21">
        <f>AVERAGE(E105:H105)</f>
        <v>2.2119630577574247E-2</v>
      </c>
      <c r="J105" s="21">
        <f t="shared" ref="J105:M105" si="45">I105</f>
        <v>2.2119630577574247E-2</v>
      </c>
      <c r="K105" s="21">
        <f t="shared" si="45"/>
        <v>2.2119630577574247E-2</v>
      </c>
      <c r="L105" s="21">
        <f t="shared" si="45"/>
        <v>2.2119630577574247E-2</v>
      </c>
      <c r="M105" s="21">
        <f t="shared" si="45"/>
        <v>2.2119630577574247E-2</v>
      </c>
    </row>
    <row r="107" spans="2:13" x14ac:dyDescent="0.2">
      <c r="B107" t="s">
        <v>37</v>
      </c>
      <c r="E107" s="84">
        <f>E70</f>
        <v>0</v>
      </c>
      <c r="F107" s="84">
        <f>F70</f>
        <v>0.3</v>
      </c>
      <c r="G107" s="84">
        <f>G70</f>
        <v>5.7</v>
      </c>
      <c r="H107" s="84">
        <f>H70</f>
        <v>0</v>
      </c>
      <c r="I107" s="22">
        <f>AVERAGE(E107:H107)</f>
        <v>1.5</v>
      </c>
      <c r="J107" s="22">
        <f>I107</f>
        <v>1.5</v>
      </c>
      <c r="K107" s="22">
        <f t="shared" ref="K107:M107" si="46">J107</f>
        <v>1.5</v>
      </c>
      <c r="L107" s="22">
        <f t="shared" si="46"/>
        <v>1.5</v>
      </c>
      <c r="M107" s="22">
        <f t="shared" si="46"/>
        <v>1.5</v>
      </c>
    </row>
    <row r="109" spans="2:13" x14ac:dyDescent="0.2">
      <c r="B109" t="s">
        <v>44</v>
      </c>
      <c r="E109" s="84">
        <f>E81</f>
        <v>125.7</v>
      </c>
      <c r="F109" s="84">
        <f>F81</f>
        <v>-9.6</v>
      </c>
      <c r="G109" s="84">
        <f>G81</f>
        <v>0</v>
      </c>
      <c r="H109" s="84">
        <f>H81</f>
        <v>0</v>
      </c>
      <c r="I109" s="22">
        <v>0</v>
      </c>
      <c r="J109" s="22">
        <v>0</v>
      </c>
      <c r="K109" s="22">
        <v>0</v>
      </c>
      <c r="L109" s="22">
        <v>0</v>
      </c>
      <c r="M109" s="22">
        <v>0</v>
      </c>
    </row>
    <row r="110" spans="2:13" x14ac:dyDescent="0.2">
      <c r="E110" s="2"/>
      <c r="F110" s="2"/>
      <c r="G110" s="2"/>
      <c r="H110" s="2"/>
    </row>
    <row r="111" spans="2:13" ht="17" thickBot="1" x14ac:dyDescent="0.25">
      <c r="B111" s="18" t="s">
        <v>102</v>
      </c>
      <c r="C111" s="18"/>
      <c r="D111" s="17"/>
      <c r="E111" s="17"/>
      <c r="F111" s="17"/>
      <c r="G111" s="17"/>
      <c r="H111" s="17"/>
      <c r="I111" s="17"/>
      <c r="J111" s="17"/>
      <c r="K111" s="17"/>
      <c r="L111" s="17"/>
      <c r="M111" s="17"/>
    </row>
    <row r="112" spans="2:13" x14ac:dyDescent="0.2">
      <c r="B112" t="s">
        <v>103</v>
      </c>
      <c r="E112" s="84">
        <f>E69</f>
        <v>-13.9</v>
      </c>
      <c r="F112" s="84">
        <f>F69</f>
        <v>-13.9</v>
      </c>
      <c r="G112" s="84">
        <f>G69</f>
        <v>-14.8</v>
      </c>
      <c r="H112" s="84">
        <f>H69</f>
        <v>0</v>
      </c>
      <c r="I112" s="22">
        <f>AVERAGE(E112:G112)</f>
        <v>-14.200000000000001</v>
      </c>
      <c r="J112" s="22">
        <f t="shared" ref="J112:M113" si="47">I112</f>
        <v>-14.200000000000001</v>
      </c>
      <c r="K112" s="22">
        <f t="shared" si="47"/>
        <v>-14.200000000000001</v>
      </c>
      <c r="L112" s="22">
        <f t="shared" si="47"/>
        <v>-14.200000000000001</v>
      </c>
      <c r="M112" s="22">
        <f t="shared" si="47"/>
        <v>-14.200000000000001</v>
      </c>
    </row>
    <row r="113" spans="2:13" x14ac:dyDescent="0.2">
      <c r="B113" s="35" t="s">
        <v>105</v>
      </c>
      <c r="E113" s="2">
        <v>-8.8000000000000007</v>
      </c>
      <c r="F113" s="2">
        <v>-7.7</v>
      </c>
      <c r="G113" s="2">
        <v>-8.8000000000000007</v>
      </c>
      <c r="H113" s="2">
        <v>-7.8</v>
      </c>
      <c r="I113" s="22">
        <f>AVERAGE(E113:G113)</f>
        <v>-8.4333333333333336</v>
      </c>
      <c r="J113" s="22">
        <f t="shared" si="47"/>
        <v>-8.4333333333333336</v>
      </c>
      <c r="K113" s="22">
        <f t="shared" si="47"/>
        <v>-8.4333333333333336</v>
      </c>
      <c r="L113" s="22">
        <f t="shared" si="47"/>
        <v>-8.4333333333333336</v>
      </c>
      <c r="M113" s="22">
        <f t="shared" si="47"/>
        <v>-8.4333333333333336</v>
      </c>
    </row>
    <row r="115" spans="2:13" x14ac:dyDescent="0.2">
      <c r="B115" t="s">
        <v>36</v>
      </c>
      <c r="E115" s="84">
        <f>E68</f>
        <v>-65.199999999999989</v>
      </c>
      <c r="F115" s="84">
        <f>F68</f>
        <v>-68.5</v>
      </c>
      <c r="G115" s="84">
        <f>G68</f>
        <v>-65.5</v>
      </c>
      <c r="H115" s="84">
        <f>H68</f>
        <v>-69.199999999999989</v>
      </c>
      <c r="I115" s="22">
        <f>AVERAGE(E115:H115)</f>
        <v>-67.099999999999994</v>
      </c>
      <c r="J115" s="22">
        <f t="shared" ref="J115:M116" si="48">I115</f>
        <v>-67.099999999999994</v>
      </c>
      <c r="K115" s="22">
        <f t="shared" si="48"/>
        <v>-67.099999999999994</v>
      </c>
      <c r="L115" s="22">
        <f t="shared" si="48"/>
        <v>-67.099999999999994</v>
      </c>
      <c r="M115" s="22">
        <f t="shared" si="48"/>
        <v>-67.099999999999994</v>
      </c>
    </row>
    <row r="116" spans="2:13" x14ac:dyDescent="0.2">
      <c r="B116" t="s">
        <v>106</v>
      </c>
      <c r="E116" s="2">
        <v>-57.7</v>
      </c>
      <c r="F116" s="2">
        <v>-59.7</v>
      </c>
      <c r="G116" s="2">
        <v>-61.4</v>
      </c>
      <c r="H116" s="2">
        <v>-60.4</v>
      </c>
      <c r="I116" s="22">
        <f>AVERAGE(E116:H116)</f>
        <v>-59.800000000000004</v>
      </c>
      <c r="J116" s="22">
        <f t="shared" si="48"/>
        <v>-59.800000000000004</v>
      </c>
      <c r="K116" s="22">
        <f t="shared" si="48"/>
        <v>-59.800000000000004</v>
      </c>
      <c r="L116" s="22">
        <f t="shared" si="48"/>
        <v>-59.800000000000004</v>
      </c>
      <c r="M116" s="22">
        <f t="shared" si="48"/>
        <v>-59.800000000000004</v>
      </c>
    </row>
    <row r="117" spans="2:13" x14ac:dyDescent="0.2">
      <c r="E117" s="2"/>
      <c r="F117" s="2"/>
      <c r="G117" s="2"/>
      <c r="H117" s="2"/>
    </row>
    <row r="118" spans="2:13" ht="17" thickBot="1" x14ac:dyDescent="0.25">
      <c r="B118" s="18" t="s">
        <v>9</v>
      </c>
      <c r="C118" s="18"/>
      <c r="D118" s="17"/>
      <c r="E118" s="17"/>
      <c r="F118" s="17"/>
      <c r="G118" s="17"/>
      <c r="H118" s="17"/>
      <c r="I118" s="17"/>
      <c r="J118" s="17"/>
      <c r="K118" s="17"/>
      <c r="L118" s="17"/>
      <c r="M118" s="17"/>
    </row>
    <row r="119" spans="2:13" x14ac:dyDescent="0.2">
      <c r="B119" t="s">
        <v>56</v>
      </c>
      <c r="E119" s="19">
        <f>-E25/E23</f>
        <v>0.22180685358255467</v>
      </c>
      <c r="F119" s="19">
        <f>-F25/F23</f>
        <v>0.24014195583596232</v>
      </c>
      <c r="G119" s="19">
        <f>-G25/G23</f>
        <v>0.18274038634483261</v>
      </c>
      <c r="H119" s="19"/>
      <c r="I119" s="21">
        <f>AVERAGE(E119:G119)</f>
        <v>0.2148963985877832</v>
      </c>
      <c r="J119" s="21">
        <v>0.22</v>
      </c>
      <c r="K119" s="21">
        <v>0.23</v>
      </c>
      <c r="L119" s="21">
        <v>0.24</v>
      </c>
      <c r="M119" s="21">
        <v>0.25</v>
      </c>
    </row>
    <row r="121" spans="2:13" x14ac:dyDescent="0.2">
      <c r="B121" t="s">
        <v>57</v>
      </c>
      <c r="E121" s="19">
        <f>E63/E25</f>
        <v>0.6896067415730337</v>
      </c>
      <c r="F121" s="19">
        <f>F63/F25</f>
        <v>1.5238095238095237</v>
      </c>
      <c r="G121" s="19">
        <f>G63/G25</f>
        <v>1.578740157480315</v>
      </c>
      <c r="H121" s="19"/>
      <c r="I121" s="21">
        <f>AVERAGE(E121:G121)</f>
        <v>1.2640521409542906</v>
      </c>
      <c r="J121" s="23">
        <v>1.1499999999999999</v>
      </c>
      <c r="K121" s="23">
        <v>1.1000000000000001</v>
      </c>
      <c r="L121" s="23">
        <v>1.05</v>
      </c>
      <c r="M121" s="23">
        <v>1</v>
      </c>
    </row>
    <row r="123" spans="2:13" ht="17" thickBot="1" x14ac:dyDescent="0.25">
      <c r="B123" s="18" t="s">
        <v>58</v>
      </c>
      <c r="C123" s="18"/>
      <c r="D123" s="17"/>
      <c r="E123" s="17"/>
      <c r="F123" s="17"/>
      <c r="G123" s="17"/>
      <c r="H123" s="17"/>
      <c r="I123" s="88"/>
      <c r="J123" s="88"/>
      <c r="K123" s="88"/>
      <c r="L123" s="88"/>
      <c r="M123" s="88"/>
    </row>
    <row r="124" spans="2:13" x14ac:dyDescent="0.2">
      <c r="B124" t="s">
        <v>59</v>
      </c>
      <c r="E124" s="84">
        <v>49</v>
      </c>
      <c r="F124" s="84">
        <v>62.1</v>
      </c>
      <c r="G124" s="84">
        <v>72.5</v>
      </c>
      <c r="H124" s="2"/>
      <c r="I124" s="84">
        <f>G124-I126+I128</f>
        <v>135.96666666666667</v>
      </c>
      <c r="J124" s="84">
        <f>I124-J126+J128</f>
        <v>199.43333333333334</v>
      </c>
      <c r="K124" s="84">
        <f>J124-K126+K128</f>
        <v>262.89999999999998</v>
      </c>
      <c r="L124" s="84">
        <f>K124-L126+L128</f>
        <v>326.36666666666667</v>
      </c>
      <c r="M124" s="84">
        <f>L124-M126+M128</f>
        <v>389.83333333333337</v>
      </c>
    </row>
    <row r="125" spans="2:13" x14ac:dyDescent="0.2">
      <c r="E125" s="84"/>
      <c r="F125" s="84"/>
      <c r="G125" s="84"/>
      <c r="I125" s="84"/>
      <c r="J125" s="84"/>
      <c r="K125" s="84"/>
      <c r="L125" s="84"/>
      <c r="M125" s="84"/>
    </row>
    <row r="126" spans="2:13" x14ac:dyDescent="0.2">
      <c r="B126" t="s">
        <v>60</v>
      </c>
      <c r="E126" s="84">
        <v>-22.1</v>
      </c>
      <c r="F126" s="84">
        <v>-27.6</v>
      </c>
      <c r="G126" s="84">
        <v>-26.7</v>
      </c>
      <c r="H126" s="2"/>
      <c r="I126" s="89">
        <f>AVERAGE(E126:G126)</f>
        <v>-25.466666666666669</v>
      </c>
      <c r="J126" s="89">
        <f>I126</f>
        <v>-25.466666666666669</v>
      </c>
      <c r="K126" s="89">
        <f>J126</f>
        <v>-25.466666666666669</v>
      </c>
      <c r="L126" s="89">
        <f>K126</f>
        <v>-25.466666666666669</v>
      </c>
      <c r="M126" s="89">
        <f>L126</f>
        <v>-25.466666666666669</v>
      </c>
    </row>
    <row r="127" spans="2:13" x14ac:dyDescent="0.2">
      <c r="E127" s="84"/>
      <c r="F127" s="84"/>
      <c r="G127" s="84"/>
      <c r="H127" s="2"/>
      <c r="I127" s="84"/>
      <c r="J127" s="84"/>
      <c r="K127" s="84"/>
      <c r="L127" s="84"/>
      <c r="M127" s="84"/>
    </row>
    <row r="128" spans="2:13" x14ac:dyDescent="0.2">
      <c r="B128" t="s">
        <v>62</v>
      </c>
      <c r="E128" s="84"/>
      <c r="F128" s="84">
        <f>F124-(E124-E126)</f>
        <v>-8.9999999999999929</v>
      </c>
      <c r="G128" s="84">
        <f>G124-(F124-F126)</f>
        <v>-17.200000000000003</v>
      </c>
      <c r="H128" s="2"/>
      <c r="I128" s="89">
        <v>38</v>
      </c>
      <c r="J128" s="89">
        <v>38</v>
      </c>
      <c r="K128" s="89">
        <v>38</v>
      </c>
      <c r="L128" s="89">
        <v>38</v>
      </c>
      <c r="M128" s="89">
        <v>38</v>
      </c>
    </row>
    <row r="129" spans="2:13" x14ac:dyDescent="0.2">
      <c r="B129" s="8" t="s">
        <v>67</v>
      </c>
      <c r="C129" s="8"/>
      <c r="D129" s="8"/>
      <c r="E129" s="25"/>
      <c r="F129" s="25"/>
      <c r="G129" s="25"/>
      <c r="H129" s="25"/>
      <c r="I129" s="87">
        <f>I128+I126</f>
        <v>12.533333333333331</v>
      </c>
      <c r="J129" s="87">
        <f>J128+J126</f>
        <v>12.533333333333331</v>
      </c>
      <c r="K129" s="87">
        <f>K128+K126</f>
        <v>12.533333333333331</v>
      </c>
      <c r="L129" s="87">
        <f>L128+L126</f>
        <v>12.533333333333331</v>
      </c>
      <c r="M129" s="87">
        <f>M128+M126</f>
        <v>12.533333333333331</v>
      </c>
    </row>
    <row r="130" spans="2:13" x14ac:dyDescent="0.2">
      <c r="I130" s="84"/>
      <c r="J130" s="84"/>
      <c r="K130" s="84"/>
      <c r="L130" s="84"/>
      <c r="M130" s="84"/>
    </row>
    <row r="131" spans="2:13" x14ac:dyDescent="0.2">
      <c r="B131" t="s">
        <v>61</v>
      </c>
      <c r="E131" s="84">
        <f>44.3+22.3</f>
        <v>66.599999999999994</v>
      </c>
      <c r="F131" s="84">
        <f>21.4+57.4</f>
        <v>78.8</v>
      </c>
      <c r="G131" s="84">
        <f>26+68.1</f>
        <v>94.1</v>
      </c>
      <c r="H131" s="84">
        <f>26+68.1</f>
        <v>94.1</v>
      </c>
      <c r="I131" s="84">
        <f>G131+I128+I135</f>
        <v>98.22399999999999</v>
      </c>
      <c r="J131" s="84">
        <f t="shared" ref="J131:L131" si="49">I131+J128+J135</f>
        <v>100.86336</v>
      </c>
      <c r="K131" s="84">
        <f t="shared" si="49"/>
        <v>102.5525504</v>
      </c>
      <c r="L131" s="84">
        <f t="shared" si="49"/>
        <v>103.633632256</v>
      </c>
      <c r="M131" s="84">
        <f>L131+M128+M135</f>
        <v>104.32552464384</v>
      </c>
    </row>
    <row r="132" spans="2:13" x14ac:dyDescent="0.2">
      <c r="B132" t="s">
        <v>63</v>
      </c>
      <c r="E132" s="19">
        <f>E131/E46</f>
        <v>3.0763545660307631E-2</v>
      </c>
      <c r="F132" s="19">
        <f>F131/F46</f>
        <v>3.6906936443257925E-2</v>
      </c>
      <c r="G132" s="19">
        <f>G131/G46</f>
        <v>4.3216680444566911E-2</v>
      </c>
      <c r="H132" s="19">
        <f>H131/H46</f>
        <v>4.4681861348528015E-2</v>
      </c>
    </row>
    <row r="133" spans="2:13" x14ac:dyDescent="0.2">
      <c r="E133" s="2"/>
    </row>
    <row r="134" spans="2:13" x14ac:dyDescent="0.2">
      <c r="B134" t="s">
        <v>68</v>
      </c>
      <c r="E134" s="19"/>
      <c r="F134" s="19">
        <f>F135/-E131</f>
        <v>0.45195195195195204</v>
      </c>
      <c r="G134" s="19">
        <f>G135/-F131</f>
        <v>0.39720812182741116</v>
      </c>
      <c r="H134" s="19">
        <f>H135/-G131</f>
        <v>0.36450584484590859</v>
      </c>
      <c r="I134" s="21">
        <v>0.36</v>
      </c>
      <c r="J134" s="21">
        <v>0.36</v>
      </c>
      <c r="K134" s="21">
        <v>0.36</v>
      </c>
      <c r="L134" s="21">
        <v>0.36</v>
      </c>
      <c r="M134" s="21">
        <v>0.36</v>
      </c>
    </row>
    <row r="135" spans="2:13" x14ac:dyDescent="0.2">
      <c r="B135" s="8" t="s">
        <v>69</v>
      </c>
      <c r="C135" s="8"/>
      <c r="D135" s="8"/>
      <c r="E135" s="87">
        <f>E79</f>
        <v>-26.5</v>
      </c>
      <c r="F135" s="87">
        <f>F79</f>
        <v>-30.1</v>
      </c>
      <c r="G135" s="87">
        <f>G79</f>
        <v>-31.3</v>
      </c>
      <c r="H135" s="87">
        <f>H79</f>
        <v>-34.299999999999997</v>
      </c>
      <c r="I135" s="87">
        <f>I134*-G131</f>
        <v>-33.875999999999998</v>
      </c>
      <c r="J135" s="87">
        <f t="shared" ref="J135:M135" si="50">J134*-I131</f>
        <v>-35.360639999999997</v>
      </c>
      <c r="K135" s="87">
        <f t="shared" si="50"/>
        <v>-36.310809599999999</v>
      </c>
      <c r="L135" s="87">
        <f t="shared" si="50"/>
        <v>-36.918918143999996</v>
      </c>
      <c r="M135" s="87">
        <f t="shared" si="50"/>
        <v>-37.308107612160001</v>
      </c>
    </row>
    <row r="137" spans="2:13" ht="17" thickBot="1" x14ac:dyDescent="0.25">
      <c r="B137" s="18" t="s">
        <v>70</v>
      </c>
      <c r="C137" s="18"/>
      <c r="D137" s="17"/>
      <c r="E137" s="17"/>
      <c r="F137" s="17"/>
      <c r="G137" s="17"/>
      <c r="H137" s="17"/>
      <c r="I137" s="17"/>
      <c r="J137" s="17"/>
      <c r="K137" s="17"/>
      <c r="L137" s="17"/>
      <c r="M137" s="17"/>
    </row>
    <row r="138" spans="2:13" x14ac:dyDescent="0.2">
      <c r="B138" t="s">
        <v>71</v>
      </c>
      <c r="E138" s="19">
        <f>-E75/E27</f>
        <v>0</v>
      </c>
      <c r="F138" s="19">
        <f>-F75/F27</f>
        <v>0</v>
      </c>
      <c r="G138" s="19">
        <f>-G75/G27</f>
        <v>0.39262291474096594</v>
      </c>
      <c r="H138" s="19">
        <f>-H75/H27</f>
        <v>0.46191125246100401</v>
      </c>
      <c r="I138" s="21">
        <v>0.4</v>
      </c>
      <c r="J138" s="21">
        <v>0.4</v>
      </c>
      <c r="K138" s="21">
        <v>0.4</v>
      </c>
      <c r="L138" s="21">
        <v>0.4</v>
      </c>
      <c r="M138" s="21">
        <v>0.4</v>
      </c>
    </row>
    <row r="139" spans="2:13" x14ac:dyDescent="0.2">
      <c r="B139" s="8" t="s">
        <v>72</v>
      </c>
      <c r="C139" s="8"/>
      <c r="D139" s="8"/>
      <c r="E139" s="87">
        <f>E75</f>
        <v>0</v>
      </c>
      <c r="F139" s="87">
        <f>F75</f>
        <v>0</v>
      </c>
      <c r="G139" s="87">
        <f>G75</f>
        <v>-89.2</v>
      </c>
      <c r="H139" s="87">
        <f>H75</f>
        <v>-91.5</v>
      </c>
      <c r="I139" s="87">
        <f>I138*-I27</f>
        <v>-83.455791060824794</v>
      </c>
      <c r="J139" s="87">
        <f>J138*-J27</f>
        <v>-89.487121569416971</v>
      </c>
      <c r="K139" s="87">
        <f>K138*-K27</f>
        <v>-94.270195337014798</v>
      </c>
      <c r="L139" s="87">
        <f>L138*-L27</f>
        <v>-92.755557762685271</v>
      </c>
      <c r="M139" s="87">
        <f>M138*-M27</f>
        <v>-100.15036493416848</v>
      </c>
    </row>
    <row r="140" spans="2:13" x14ac:dyDescent="0.2">
      <c r="E140" s="84"/>
      <c r="F140" s="84"/>
      <c r="G140" s="84"/>
      <c r="H140" s="84"/>
      <c r="I140" s="84"/>
      <c r="J140" s="84"/>
      <c r="K140" s="84"/>
      <c r="L140" s="84"/>
      <c r="M140" s="84"/>
    </row>
    <row r="141" spans="2:13" x14ac:dyDescent="0.2">
      <c r="B141" t="s">
        <v>73</v>
      </c>
      <c r="E141" s="84">
        <f>E74</f>
        <v>-26.8</v>
      </c>
      <c r="F141" s="84">
        <f>F74</f>
        <v>-170.9</v>
      </c>
      <c r="G141" s="84">
        <f>G74</f>
        <v>-118.7</v>
      </c>
      <c r="H141" s="84">
        <f>H74</f>
        <v>-227.20000000000002</v>
      </c>
      <c r="I141" s="89">
        <v>-50</v>
      </c>
      <c r="J141" s="89">
        <v>-40</v>
      </c>
      <c r="K141" s="89">
        <v>-30</v>
      </c>
      <c r="L141" s="89">
        <v>0</v>
      </c>
      <c r="M141" s="89">
        <v>0</v>
      </c>
    </row>
    <row r="143" spans="2:13" ht="17" thickBot="1" x14ac:dyDescent="0.25">
      <c r="B143" s="18" t="s">
        <v>74</v>
      </c>
      <c r="C143" s="18"/>
      <c r="D143" s="17"/>
      <c r="E143" s="17"/>
      <c r="F143" s="17"/>
      <c r="G143" s="17"/>
      <c r="H143" s="17"/>
      <c r="I143" s="17"/>
      <c r="J143" s="17"/>
      <c r="K143" s="17"/>
      <c r="L143" s="17"/>
      <c r="M143" s="17"/>
    </row>
    <row r="144" spans="2:13" x14ac:dyDescent="0.2">
      <c r="B144" s="24" t="s">
        <v>77</v>
      </c>
    </row>
    <row r="145" spans="2:13" x14ac:dyDescent="0.2">
      <c r="B145" t="s">
        <v>84</v>
      </c>
      <c r="E145" s="19">
        <f>E35/E9</f>
        <v>1.020512297173181E-2</v>
      </c>
      <c r="F145" s="19">
        <f>F35/F9</f>
        <v>3.1203810149449829E-3</v>
      </c>
      <c r="G145" s="19">
        <f>G35/G9</f>
        <v>9.774540386916955E-3</v>
      </c>
      <c r="H145" s="19">
        <f>H35/H9</f>
        <v>4.8157405921067731E-3</v>
      </c>
      <c r="I145" s="21">
        <v>0.01</v>
      </c>
      <c r="J145" s="21">
        <v>1.2E-2</v>
      </c>
      <c r="K145" s="21">
        <v>1.2999999999999999E-2</v>
      </c>
      <c r="L145" s="21">
        <v>1.4999999999999999E-2</v>
      </c>
      <c r="M145" s="21">
        <v>1.4999999999999999E-2</v>
      </c>
    </row>
    <row r="147" spans="2:13" x14ac:dyDescent="0.2">
      <c r="B147" s="24" t="s">
        <v>64</v>
      </c>
    </row>
    <row r="148" spans="2:13" x14ac:dyDescent="0.2">
      <c r="B148" t="s">
        <v>79</v>
      </c>
      <c r="E148" s="19">
        <f>E44/-E16</f>
        <v>8.5019322573312114E-2</v>
      </c>
      <c r="F148" s="19">
        <f>F44/-F16</f>
        <v>7.0422535211267609E-2</v>
      </c>
      <c r="G148" s="19">
        <f>G44/-G16</f>
        <v>5.6141672946495864E-2</v>
      </c>
      <c r="H148" s="19">
        <f>H44/-H16</f>
        <v>5.1109350237717913E-2</v>
      </c>
      <c r="I148" s="21">
        <v>5.5E-2</v>
      </c>
      <c r="J148" s="21">
        <v>5.3999999999999999E-2</v>
      </c>
      <c r="K148" s="21">
        <v>5.1999999999999998E-2</v>
      </c>
      <c r="L148" s="21">
        <v>5.2999999999999999E-2</v>
      </c>
      <c r="M148" s="21">
        <v>0.05</v>
      </c>
    </row>
    <row r="149" spans="2:13" x14ac:dyDescent="0.2">
      <c r="B149" t="s">
        <v>81</v>
      </c>
      <c r="E149" s="19">
        <f>-E47/E16</f>
        <v>0.43987269834053194</v>
      </c>
      <c r="F149" s="19">
        <f>-F47/F16</f>
        <v>0.51861856067914347</v>
      </c>
      <c r="G149" s="19">
        <f>-G47/G16</f>
        <v>0.40203466465712134</v>
      </c>
      <c r="H149" s="19">
        <f>-H47/H16</f>
        <v>0.5921156893819336</v>
      </c>
      <c r="I149" s="21">
        <v>0.6</v>
      </c>
      <c r="J149" s="21">
        <v>0.61</v>
      </c>
      <c r="K149" s="21">
        <v>0.62</v>
      </c>
      <c r="L149" s="21">
        <v>0.63</v>
      </c>
      <c r="M149" s="21">
        <v>0.64</v>
      </c>
    </row>
    <row r="150" spans="2:13" x14ac:dyDescent="0.2">
      <c r="E150" s="19"/>
      <c r="F150" s="19"/>
      <c r="G150" s="19"/>
      <c r="H150" s="19"/>
    </row>
    <row r="151" spans="2:13" x14ac:dyDescent="0.2">
      <c r="B151" s="24" t="s">
        <v>120</v>
      </c>
      <c r="C151" s="1" t="s">
        <v>121</v>
      </c>
    </row>
    <row r="152" spans="2:13" x14ac:dyDescent="0.2">
      <c r="B152" t="s">
        <v>75</v>
      </c>
      <c r="E152" s="19">
        <f>E39/E9</f>
        <v>9.0757560295268228E-2</v>
      </c>
      <c r="F152" s="19">
        <f>F39/F9</f>
        <v>8.6516669403842991E-2</v>
      </c>
      <c r="G152" s="19">
        <f>G39/G9</f>
        <v>0.10777801792966848</v>
      </c>
      <c r="H152" s="19">
        <f>H39/H9</f>
        <v>0.13726498694508421</v>
      </c>
      <c r="I152" s="21">
        <v>0.11</v>
      </c>
      <c r="J152" s="21">
        <v>0.115</v>
      </c>
      <c r="K152" s="21">
        <v>0.12</v>
      </c>
      <c r="L152" s="21">
        <v>0.13</v>
      </c>
      <c r="M152" s="21">
        <v>0.14000000000000001</v>
      </c>
    </row>
    <row r="153" spans="2:13" x14ac:dyDescent="0.2">
      <c r="B153" t="s">
        <v>121</v>
      </c>
      <c r="E153" s="39">
        <f>(E39/E9)*365</f>
        <v>33.126509507772901</v>
      </c>
      <c r="F153" s="39">
        <f>(F39/F9)*365</f>
        <v>31.578584332402691</v>
      </c>
      <c r="G153" s="39">
        <f>(G39/G9)*365</f>
        <v>39.338976544329</v>
      </c>
      <c r="H153" s="39">
        <f>(H39/H9)*365</f>
        <v>50.101720234955735</v>
      </c>
      <c r="I153" s="1">
        <v>50</v>
      </c>
      <c r="J153" s="1">
        <v>45</v>
      </c>
      <c r="K153" s="1">
        <v>40</v>
      </c>
      <c r="L153" s="1">
        <v>39</v>
      </c>
      <c r="M153" s="1">
        <v>35</v>
      </c>
    </row>
    <row r="154" spans="2:13" x14ac:dyDescent="0.2">
      <c r="B154" t="s">
        <v>122</v>
      </c>
      <c r="E154" s="84">
        <f>E39</f>
        <v>266.8</v>
      </c>
      <c r="F154" s="84">
        <f>F39</f>
        <v>263.39999999999998</v>
      </c>
      <c r="G154" s="84">
        <f>G39</f>
        <v>334.1</v>
      </c>
      <c r="H154" s="84">
        <f>H39</f>
        <v>419</v>
      </c>
      <c r="I154" s="84">
        <f>IF($C$151=$B$152,I152*I9, I153*(I9/365))</f>
        <v>428.60304794520533</v>
      </c>
      <c r="J154" s="84">
        <f>IF($C$151=$B$152,J152*J9, J153*(J9/365))</f>
        <v>391.52888429794501</v>
      </c>
      <c r="K154" s="84">
        <f>IF($C$151=$B$152,K152*K9, K153*(K9/365))</f>
        <v>352.37599586815054</v>
      </c>
      <c r="L154" s="84">
        <f>IF($C$151=$B$152,L152*L9, L153*(L9/365))</f>
        <v>347.00226193116123</v>
      </c>
      <c r="M154" s="84">
        <f>IF($C$151=$B$152,M152*M9, M153*(M9/365))</f>
        <v>314.5264092119628</v>
      </c>
    </row>
    <row r="155" spans="2:13" x14ac:dyDescent="0.2">
      <c r="E155" s="39"/>
      <c r="F155" s="39"/>
      <c r="G155" s="39"/>
      <c r="H155" s="39"/>
      <c r="I155" s="2"/>
      <c r="J155" s="2"/>
      <c r="K155" s="2"/>
      <c r="L155" s="2"/>
      <c r="M155" s="2"/>
    </row>
    <row r="156" spans="2:13" x14ac:dyDescent="0.2">
      <c r="B156" s="24" t="s">
        <v>123</v>
      </c>
      <c r="C156" s="1" t="s">
        <v>124</v>
      </c>
    </row>
    <row r="157" spans="2:13" x14ac:dyDescent="0.2">
      <c r="B157" t="s">
        <v>76</v>
      </c>
      <c r="E157" s="19">
        <f>E38/E9</f>
        <v>0.15549205701262037</v>
      </c>
      <c r="F157" s="19">
        <f>F38/F9</f>
        <v>0.1466250615864674</v>
      </c>
      <c r="G157" s="19">
        <f>G38/G9</f>
        <v>0.14242440860804739</v>
      </c>
      <c r="H157" s="19">
        <f>H38/H9</f>
        <v>0.15898495981968822</v>
      </c>
      <c r="I157" s="21">
        <f>AVERAGE(E157:G157)</f>
        <v>0.14818050906904504</v>
      </c>
      <c r="J157" s="21">
        <f>I157</f>
        <v>0.14818050906904504</v>
      </c>
      <c r="K157" s="21">
        <f t="shared" ref="K157" si="51">J157</f>
        <v>0.14818050906904504</v>
      </c>
      <c r="L157" s="21">
        <f t="shared" ref="L157" si="52">K157</f>
        <v>0.14818050906904504</v>
      </c>
      <c r="M157" s="21">
        <f t="shared" ref="M157" si="53">L157</f>
        <v>0.14818050906904504</v>
      </c>
    </row>
    <row r="158" spans="2:13" x14ac:dyDescent="0.2">
      <c r="B158" t="s">
        <v>124</v>
      </c>
      <c r="E158" s="39">
        <f>(E38/-E10)*365</f>
        <v>78.535821879118814</v>
      </c>
      <c r="F158" s="39">
        <f>(F38/-F10)*365</f>
        <v>74.542959099643141</v>
      </c>
      <c r="G158" s="39">
        <f>(G38/-G10)*365</f>
        <v>73.85311640696608</v>
      </c>
      <c r="H158" s="39">
        <f>(H38/-H10)*365</f>
        <v>80.44255222524977</v>
      </c>
      <c r="I158" s="40">
        <v>80</v>
      </c>
      <c r="J158" s="40">
        <v>78</v>
      </c>
      <c r="K158" s="40">
        <v>77</v>
      </c>
      <c r="L158" s="40">
        <v>76</v>
      </c>
      <c r="M158" s="40">
        <v>75</v>
      </c>
    </row>
    <row r="159" spans="2:13" x14ac:dyDescent="0.2">
      <c r="B159" t="s">
        <v>122</v>
      </c>
      <c r="E159" s="84">
        <f>E38</f>
        <v>457.1</v>
      </c>
      <c r="F159" s="84">
        <f>F38</f>
        <v>446.4</v>
      </c>
      <c r="G159" s="84">
        <f>G38</f>
        <v>441.5</v>
      </c>
      <c r="H159" s="84">
        <f>H38</f>
        <v>485.3</v>
      </c>
      <c r="I159" s="84">
        <f>IF($C$156=$B$157,I157*I9, I158*(-I10/365))</f>
        <v>493.75071123287648</v>
      </c>
      <c r="J159" s="84">
        <f>IF($C$156=$B$157,J157*J9, J158*(-J10/365))</f>
        <v>487.27074747160253</v>
      </c>
      <c r="K159" s="84">
        <f>IF($C$156=$B$157,K157*K9, K158*(-K10/365))</f>
        <v>485.00151131302562</v>
      </c>
      <c r="L159" s="84">
        <f>IF($C$156=$B$157,L157*L9, L158*(-L10/365))</f>
        <v>481.46118968253836</v>
      </c>
      <c r="M159" s="84">
        <f>IF($C$156=$B$157,M157*M9, M158*(-M10/365))</f>
        <v>478.52946544391477</v>
      </c>
    </row>
    <row r="160" spans="2:13" x14ac:dyDescent="0.2">
      <c r="E160" s="39"/>
      <c r="F160" s="39"/>
      <c r="G160" s="39"/>
      <c r="H160" s="39"/>
      <c r="I160" s="2"/>
      <c r="J160" s="2"/>
      <c r="K160" s="2"/>
      <c r="L160" s="2"/>
      <c r="M160" s="2"/>
    </row>
    <row r="161" spans="2:13" x14ac:dyDescent="0.2">
      <c r="B161" s="24" t="s">
        <v>21</v>
      </c>
      <c r="C161" s="1" t="s">
        <v>125</v>
      </c>
      <c r="E161" s="39"/>
      <c r="F161" s="39"/>
      <c r="G161" s="39"/>
      <c r="H161" s="39"/>
      <c r="I161" s="2"/>
      <c r="J161" s="2"/>
      <c r="K161" s="2"/>
      <c r="L161" s="2"/>
      <c r="M161" s="2"/>
    </row>
    <row r="162" spans="2:13" x14ac:dyDescent="0.2">
      <c r="B162" t="s">
        <v>80</v>
      </c>
      <c r="E162" s="19">
        <f>-E43/E16</f>
        <v>1.5808138213230281</v>
      </c>
      <c r="F162" s="19">
        <f>-F43/F16</f>
        <v>1.485240208373529</v>
      </c>
      <c r="G162" s="19">
        <f>-G43/G16</f>
        <v>1.5619819140919369</v>
      </c>
      <c r="H162" s="19">
        <f>-H43/H16</f>
        <v>1.6733359746434233</v>
      </c>
      <c r="I162" s="21">
        <v>1.57</v>
      </c>
      <c r="J162" s="21">
        <v>1.58</v>
      </c>
      <c r="K162" s="21">
        <v>1.59</v>
      </c>
      <c r="L162" s="21">
        <v>1.6</v>
      </c>
      <c r="M162" s="21">
        <v>1.6</v>
      </c>
    </row>
    <row r="163" spans="2:13" x14ac:dyDescent="0.2">
      <c r="B163" t="s">
        <v>125</v>
      </c>
      <c r="E163" s="39">
        <f>(E43/-E10)*365</f>
        <v>119.47891169271323</v>
      </c>
      <c r="F163" s="39">
        <f>(F43/-F10)*365</f>
        <v>128.54652758715343</v>
      </c>
      <c r="G163" s="39">
        <f>(G43/-G10)*365</f>
        <v>138.68996333638864</v>
      </c>
      <c r="H163" s="39">
        <f>(H43/-H10)*365</f>
        <v>140.01612170753862</v>
      </c>
      <c r="I163" s="40">
        <v>140</v>
      </c>
      <c r="J163" s="40">
        <v>142</v>
      </c>
      <c r="K163" s="40">
        <v>143</v>
      </c>
      <c r="L163" s="40">
        <v>144</v>
      </c>
      <c r="M163" s="40">
        <v>145</v>
      </c>
    </row>
    <row r="164" spans="2:13" x14ac:dyDescent="0.2">
      <c r="B164" t="s">
        <v>122</v>
      </c>
      <c r="E164" s="84">
        <f>E43</f>
        <v>695.4</v>
      </c>
      <c r="F164" s="84">
        <f>F43</f>
        <v>769.8</v>
      </c>
      <c r="G164" s="84">
        <f>G43</f>
        <v>829.1</v>
      </c>
      <c r="H164" s="84">
        <f>H43</f>
        <v>844.7</v>
      </c>
      <c r="I164" s="84">
        <f>IF($C$161=$B$162,I162*-I16, I163*(-I10/365))</f>
        <v>864.06374465753379</v>
      </c>
      <c r="J164" s="84">
        <f>IF($C$161=$B$162,J162*-J16, J163*(-J10/365))</f>
        <v>887.08264283291737</v>
      </c>
      <c r="K164" s="84">
        <f>IF($C$161=$B$162,K162*-K16, K163*(-K10/365))</f>
        <v>900.71709243847613</v>
      </c>
      <c r="L164" s="84">
        <f>IF($C$161=$B$162,L162*-L16, L163*(-L10/365))</f>
        <v>912.24225413533588</v>
      </c>
      <c r="M164" s="84">
        <f>IF($C$161=$B$162,M162*-M16, M163*(-M10/365))</f>
        <v>925.15696652490192</v>
      </c>
    </row>
    <row r="165" spans="2:13" x14ac:dyDescent="0.2">
      <c r="E165" s="19"/>
      <c r="F165" s="19"/>
      <c r="G165" s="19"/>
      <c r="H165" s="19"/>
    </row>
    <row r="166" spans="2:13" ht="17" thickBot="1" x14ac:dyDescent="0.25">
      <c r="B166" s="18" t="s">
        <v>88</v>
      </c>
      <c r="C166" s="18"/>
      <c r="D166" s="17"/>
      <c r="E166" s="17"/>
      <c r="F166" s="17"/>
      <c r="G166" s="17"/>
      <c r="H166" s="17"/>
      <c r="I166" s="17"/>
      <c r="J166" s="17"/>
      <c r="K166" s="17"/>
      <c r="L166" s="17"/>
      <c r="M166" s="17"/>
    </row>
    <row r="167" spans="2:13" x14ac:dyDescent="0.2">
      <c r="B167" t="s">
        <v>89</v>
      </c>
      <c r="F167" s="19">
        <f>-F21/E46</f>
        <v>5.0625894960506256E-2</v>
      </c>
      <c r="G167" s="19">
        <f>-G21/F46</f>
        <v>6.5196009554587611E-2</v>
      </c>
      <c r="H167" s="19">
        <f>-H21/G46</f>
        <v>5.7821254707449254E-2</v>
      </c>
      <c r="I167" s="21">
        <v>5.5E-2</v>
      </c>
      <c r="J167" s="21">
        <v>5.3499999999999999E-2</v>
      </c>
      <c r="K167" s="21">
        <v>5.2999999999999999E-2</v>
      </c>
      <c r="L167" s="21">
        <v>5.1999999999999998E-2</v>
      </c>
      <c r="M167" s="21">
        <v>5.0999999999999997E-2</v>
      </c>
    </row>
    <row r="169" spans="2:13" x14ac:dyDescent="0.2">
      <c r="B169" t="s">
        <v>90</v>
      </c>
      <c r="E169" s="81">
        <f>E20</f>
        <v>12.1</v>
      </c>
      <c r="F169" s="81">
        <f>F20</f>
        <v>22.8</v>
      </c>
      <c r="G169" s="81">
        <f>G20</f>
        <v>30.1</v>
      </c>
      <c r="H169" s="81">
        <f>H20</f>
        <v>21.500000000000004</v>
      </c>
      <c r="I169" s="89">
        <f>AVERAGE(E169:H169)</f>
        <v>21.625</v>
      </c>
      <c r="J169" s="89">
        <f>I169</f>
        <v>21.625</v>
      </c>
      <c r="K169" s="89">
        <f t="shared" ref="K169:M169" si="54">J169</f>
        <v>21.625</v>
      </c>
      <c r="L169" s="89">
        <f t="shared" si="54"/>
        <v>21.625</v>
      </c>
      <c r="M169" s="89">
        <f t="shared" si="54"/>
        <v>21.625</v>
      </c>
    </row>
    <row r="170" spans="2:13" x14ac:dyDescent="0.2">
      <c r="I170" s="84"/>
      <c r="J170" s="84"/>
      <c r="K170" s="84"/>
      <c r="L170" s="84"/>
      <c r="M170" s="84"/>
    </row>
    <row r="171" spans="2:13" x14ac:dyDescent="0.2">
      <c r="B171" t="s">
        <v>43</v>
      </c>
      <c r="E171" s="84">
        <f>E80</f>
        <v>-6.5</v>
      </c>
      <c r="F171" s="84">
        <f>F80</f>
        <v>-3.3</v>
      </c>
      <c r="G171" s="84">
        <f>G80</f>
        <v>-2.7</v>
      </c>
      <c r="H171" s="84">
        <f>H80</f>
        <v>-0.10000000000000053</v>
      </c>
      <c r="I171" s="89">
        <f>AVERAGE(E171:H171)</f>
        <v>-3.1500000000000004</v>
      </c>
      <c r="J171" s="89">
        <f t="shared" ref="J171:M171" si="55">AVERAGE(F171:I171)</f>
        <v>-2.3125</v>
      </c>
      <c r="K171" s="89">
        <f t="shared" si="55"/>
        <v>-2.0656250000000003</v>
      </c>
      <c r="L171" s="89">
        <f t="shared" si="55"/>
        <v>-1.9070312500000002</v>
      </c>
      <c r="M171" s="89">
        <f t="shared" si="55"/>
        <v>-2.3587890625000005</v>
      </c>
    </row>
    <row r="172" spans="2:13" x14ac:dyDescent="0.2">
      <c r="I172" s="84"/>
      <c r="J172" s="84"/>
      <c r="K172" s="84"/>
      <c r="L172" s="84"/>
      <c r="M172" s="84"/>
    </row>
    <row r="173" spans="2:13" x14ac:dyDescent="0.2">
      <c r="B173" t="s">
        <v>40</v>
      </c>
      <c r="E173" s="84">
        <f>E76</f>
        <v>-2.9</v>
      </c>
      <c r="F173" s="84">
        <f>F76</f>
        <v>-7.1</v>
      </c>
      <c r="G173" s="84">
        <f>G76</f>
        <v>-5.8</v>
      </c>
      <c r="H173" s="84">
        <f>H76</f>
        <v>-7.3</v>
      </c>
      <c r="I173" s="89">
        <f>AVERAGE(E173:H173)</f>
        <v>-5.7750000000000004</v>
      </c>
      <c r="J173" s="89">
        <f>I173</f>
        <v>-5.7750000000000004</v>
      </c>
      <c r="K173" s="89">
        <f>J173</f>
        <v>-5.7750000000000004</v>
      </c>
      <c r="L173" s="89">
        <f>K173</f>
        <v>-5.7750000000000004</v>
      </c>
      <c r="M173" s="89">
        <f>L173</f>
        <v>-5.7750000000000004</v>
      </c>
    </row>
    <row r="174" spans="2:13" x14ac:dyDescent="0.2">
      <c r="E174" s="2"/>
      <c r="F174" s="2"/>
      <c r="G174" s="2"/>
      <c r="H174" s="2"/>
    </row>
    <row r="175" spans="2:13" x14ac:dyDescent="0.2">
      <c r="B175" t="s">
        <v>96</v>
      </c>
      <c r="E175" s="2"/>
      <c r="F175" s="2"/>
      <c r="G175" s="2"/>
      <c r="H175" s="2"/>
      <c r="I175" s="84">
        <v>6</v>
      </c>
      <c r="J175" s="84">
        <v>6</v>
      </c>
      <c r="K175" s="84">
        <v>1300</v>
      </c>
      <c r="L175" s="84">
        <v>765</v>
      </c>
      <c r="M175" s="2"/>
    </row>
    <row r="176" spans="2:13" x14ac:dyDescent="0.2">
      <c r="B176" t="s">
        <v>97</v>
      </c>
      <c r="E176" s="2"/>
      <c r="F176" s="2"/>
      <c r="G176" s="2"/>
      <c r="H176" s="2"/>
      <c r="I176" s="23">
        <v>0</v>
      </c>
      <c r="J176" s="23">
        <v>0</v>
      </c>
      <c r="K176" s="23">
        <v>0.6</v>
      </c>
      <c r="L176" s="23">
        <v>0.6</v>
      </c>
      <c r="M176" s="2"/>
    </row>
    <row r="177" spans="2:13" x14ac:dyDescent="0.2">
      <c r="B177" s="34" t="s">
        <v>98</v>
      </c>
      <c r="C177" s="25"/>
      <c r="D177" s="25"/>
      <c r="E177" s="25"/>
      <c r="F177" s="25"/>
      <c r="G177" s="25"/>
      <c r="H177" s="25"/>
      <c r="I177" s="87">
        <f>I175*(1-I176)</f>
        <v>6</v>
      </c>
      <c r="J177" s="87">
        <f>J175*(1-J176)</f>
        <v>6</v>
      </c>
      <c r="K177" s="87">
        <f>K175*(1-K176)</f>
        <v>520</v>
      </c>
      <c r="L177" s="87">
        <f>L175*(1-L176)</f>
        <v>306</v>
      </c>
      <c r="M177" s="25"/>
    </row>
    <row r="178" spans="2:13" x14ac:dyDescent="0.2">
      <c r="B178" s="34"/>
      <c r="C178" s="25"/>
      <c r="D178" s="25"/>
      <c r="E178" s="25"/>
      <c r="F178" s="25"/>
      <c r="G178" s="25"/>
      <c r="H178" s="25"/>
      <c r="I178" s="25"/>
      <c r="J178" s="25"/>
      <c r="K178" s="25"/>
      <c r="L178" s="25"/>
      <c r="M178" s="25"/>
    </row>
    <row r="179" spans="2:13" x14ac:dyDescent="0.2">
      <c r="B179" t="s">
        <v>99</v>
      </c>
      <c r="C179" s="25"/>
      <c r="D179" s="25"/>
      <c r="E179" s="19">
        <f>E37/-E16</f>
        <v>0.84041827688110937</v>
      </c>
      <c r="F179" s="19">
        <f>F37/-F16</f>
        <v>0.79664287092417518</v>
      </c>
      <c r="G179" s="19">
        <f>G37/-G16</f>
        <v>0.759796533534288</v>
      </c>
      <c r="H179" s="19">
        <f>H37/-H16</f>
        <v>0.38351822503961969</v>
      </c>
      <c r="I179" s="21">
        <v>0.4</v>
      </c>
      <c r="J179" s="21">
        <v>0.4</v>
      </c>
      <c r="K179" s="21">
        <v>0.4</v>
      </c>
      <c r="L179" s="21">
        <v>0.4</v>
      </c>
      <c r="M179" s="21">
        <v>0.4</v>
      </c>
    </row>
    <row r="180" spans="2:13" x14ac:dyDescent="0.2">
      <c r="C180" s="25"/>
      <c r="D180" s="25"/>
      <c r="E180" s="19"/>
      <c r="F180" s="19"/>
      <c r="G180" s="19"/>
      <c r="H180" s="19"/>
    </row>
    <row r="181" spans="2:13" x14ac:dyDescent="0.2">
      <c r="B181" t="s">
        <v>100</v>
      </c>
      <c r="C181" s="25"/>
      <c r="D181" s="25"/>
      <c r="E181" s="19"/>
      <c r="F181" s="19"/>
      <c r="G181" s="19"/>
      <c r="H181" s="19"/>
      <c r="I181" s="84">
        <f>-I179*I16</f>
        <v>204.8739713299999</v>
      </c>
      <c r="J181" s="84">
        <f>-J179*J16</f>
        <v>207.18490467184989</v>
      </c>
      <c r="K181" s="84">
        <f>-K179*K16</f>
        <v>208.35992635683743</v>
      </c>
      <c r="L181" s="84">
        <f>-L179*L16</f>
        <v>210.44352562040581</v>
      </c>
      <c r="M181" s="84">
        <f>-M179*M16</f>
        <v>212.54796087660989</v>
      </c>
    </row>
    <row r="182" spans="2:13" x14ac:dyDescent="0.2">
      <c r="B182" t="s">
        <v>107</v>
      </c>
      <c r="C182" s="25"/>
      <c r="D182" s="25"/>
      <c r="E182" s="19"/>
      <c r="F182" s="19"/>
      <c r="G182" s="19"/>
      <c r="H182" s="19"/>
      <c r="I182" s="84">
        <f>G87+I65+I72+I74+I75+I76+I77+I79+I80+I81-I177</f>
        <v>353.41487169664288</v>
      </c>
      <c r="J182" s="84">
        <f>I87+J65+J72+J74+J75+J76+J77+J79+J80+J81-J177</f>
        <v>262.6655490590187</v>
      </c>
      <c r="K182" s="84">
        <f>J87+K65+K72+K74+K75+K76+K77+K79+K80+K81-K177</f>
        <v>-634.09599319080814</v>
      </c>
      <c r="L182" s="84">
        <f>K87+L65+L72+L74+L75+L76+L77+L79+L80+L81-L177</f>
        <v>254.6774414560208</v>
      </c>
      <c r="M182" s="84">
        <f>L87+M65+M72+M74+M75+M76+M77+M79+M80+M81-M177</f>
        <v>738.00844454089474</v>
      </c>
    </row>
    <row r="183" spans="2:13" x14ac:dyDescent="0.2">
      <c r="B183" t="s">
        <v>101</v>
      </c>
      <c r="C183" s="25"/>
      <c r="D183" s="25"/>
      <c r="E183" s="19"/>
      <c r="F183" s="19"/>
      <c r="G183" s="19"/>
      <c r="H183" s="19"/>
      <c r="I183" s="84">
        <f>MAX(I181-I182,0)</f>
        <v>0</v>
      </c>
      <c r="J183" s="84">
        <f t="shared" ref="J183:M183" si="56">MAX(J181-J182,0)</f>
        <v>0</v>
      </c>
      <c r="K183" s="84">
        <f t="shared" si="56"/>
        <v>842.45591954764564</v>
      </c>
      <c r="L183" s="84">
        <f t="shared" si="56"/>
        <v>0</v>
      </c>
      <c r="M183" s="84">
        <f t="shared" si="56"/>
        <v>0</v>
      </c>
    </row>
    <row r="185" spans="2:13" ht="17" thickBot="1" x14ac:dyDescent="0.25">
      <c r="B185" s="12"/>
      <c r="C185" s="12"/>
      <c r="D185" s="12"/>
      <c r="E185" s="31"/>
      <c r="F185" s="31" t="s">
        <v>48</v>
      </c>
      <c r="G185" s="31"/>
      <c r="H185" s="31"/>
      <c r="I185" s="32"/>
      <c r="J185" s="33"/>
      <c r="K185" s="33" t="s">
        <v>47</v>
      </c>
      <c r="L185" s="33"/>
      <c r="M185" s="33"/>
    </row>
    <row r="186" spans="2:13" x14ac:dyDescent="0.2">
      <c r="B186" s="10" t="s">
        <v>91</v>
      </c>
      <c r="C186" s="10"/>
      <c r="D186" s="10"/>
      <c r="E186" s="13">
        <v>2022</v>
      </c>
      <c r="F186" s="13">
        <v>2023</v>
      </c>
      <c r="G186" s="13">
        <v>2024</v>
      </c>
      <c r="H186" s="13">
        <v>2025</v>
      </c>
      <c r="I186" s="30">
        <v>2026</v>
      </c>
      <c r="J186" s="29">
        <v>2027</v>
      </c>
      <c r="K186" s="20">
        <v>2028</v>
      </c>
      <c r="L186" s="20">
        <v>2029</v>
      </c>
      <c r="M186" s="20">
        <v>2030</v>
      </c>
    </row>
    <row r="187" spans="2:13" x14ac:dyDescent="0.2">
      <c r="B187" s="24" t="s">
        <v>92</v>
      </c>
      <c r="C187" s="24"/>
      <c r="D187" s="24"/>
      <c r="E187" s="85">
        <f t="shared" ref="E187:M187" si="57">E18+E58</f>
        <v>463.99999999999977</v>
      </c>
      <c r="F187" s="85">
        <f t="shared" si="57"/>
        <v>435.39999999999981</v>
      </c>
      <c r="G187" s="85">
        <f t="shared" si="57"/>
        <v>483.9899999999999</v>
      </c>
      <c r="H187" s="85">
        <f t="shared" ref="H187" si="58">H18+H58</f>
        <v>451.08999999999935</v>
      </c>
      <c r="I187" s="85">
        <f t="shared" si="57"/>
        <v>457.57970167500014</v>
      </c>
      <c r="J187" s="85">
        <f t="shared" si="57"/>
        <v>471.29480633787489</v>
      </c>
      <c r="K187" s="85">
        <f t="shared" si="57"/>
        <v>489.19800836251557</v>
      </c>
      <c r="L187" s="85">
        <f t="shared" si="57"/>
        <v>502.89574426190018</v>
      </c>
      <c r="M187" s="85">
        <f t="shared" si="57"/>
        <v>513.54782395379743</v>
      </c>
    </row>
    <row r="188" spans="2:13" x14ac:dyDescent="0.2">
      <c r="B188" s="8" t="s">
        <v>95</v>
      </c>
      <c r="C188" s="24"/>
      <c r="D188" s="24"/>
      <c r="E188" s="11"/>
      <c r="F188" s="28">
        <f t="shared" ref="F188:M188" si="59">F187/E187-1</f>
        <v>-6.1637931034482674E-2</v>
      </c>
      <c r="G188" s="28">
        <f t="shared" si="59"/>
        <v>0.11159853008727638</v>
      </c>
      <c r="H188" s="28">
        <f t="shared" si="59"/>
        <v>-6.7976611087007033E-2</v>
      </c>
      <c r="I188" s="28">
        <f>I187/G187-1</f>
        <v>-5.4567859511559624E-2</v>
      </c>
      <c r="J188" s="28">
        <f t="shared" si="59"/>
        <v>2.9973149186184989E-2</v>
      </c>
      <c r="K188" s="28">
        <f t="shared" si="59"/>
        <v>3.7987267807499947E-2</v>
      </c>
      <c r="L188" s="28">
        <f t="shared" si="59"/>
        <v>2.8000391794796631E-2</v>
      </c>
      <c r="M188" s="28">
        <f t="shared" si="59"/>
        <v>2.1181487044658276E-2</v>
      </c>
    </row>
    <row r="189" spans="2:13" x14ac:dyDescent="0.2">
      <c r="B189" s="24"/>
    </row>
    <row r="190" spans="2:13" x14ac:dyDescent="0.2">
      <c r="B190" t="s">
        <v>93</v>
      </c>
      <c r="E190" s="84">
        <f t="shared" ref="E190:M190" si="60">E46</f>
        <v>2164.9</v>
      </c>
      <c r="F190" s="84">
        <f t="shared" si="60"/>
        <v>2135.1</v>
      </c>
      <c r="G190" s="84">
        <f t="shared" si="60"/>
        <v>2177.4</v>
      </c>
      <c r="H190" s="84">
        <f t="shared" ref="H190" si="61">H46</f>
        <v>2106</v>
      </c>
      <c r="I190" s="84">
        <f t="shared" si="60"/>
        <v>2100.9739999999997</v>
      </c>
      <c r="J190" s="84">
        <f t="shared" si="60"/>
        <v>2095.3008599999998</v>
      </c>
      <c r="K190" s="84">
        <f t="shared" si="60"/>
        <v>2417.380344947645</v>
      </c>
      <c r="L190" s="84">
        <f t="shared" si="60"/>
        <v>2110.554395553645</v>
      </c>
      <c r="M190" s="84">
        <f t="shared" si="60"/>
        <v>2108.8874988789853</v>
      </c>
    </row>
    <row r="191" spans="2:13" x14ac:dyDescent="0.2">
      <c r="B191" t="s">
        <v>41</v>
      </c>
      <c r="E191" s="84">
        <f t="shared" ref="E191:M191" si="62">E190-E37</f>
        <v>1795.2</v>
      </c>
      <c r="F191" s="84">
        <f t="shared" si="62"/>
        <v>1722.1999999999998</v>
      </c>
      <c r="G191" s="84">
        <f t="shared" si="62"/>
        <v>1774.1000000000001</v>
      </c>
      <c r="H191" s="84">
        <f t="shared" ref="H191" si="63">H190-H37</f>
        <v>1912.4</v>
      </c>
      <c r="I191" s="84">
        <f t="shared" si="62"/>
        <v>1951.2591283033571</v>
      </c>
      <c r="J191" s="84">
        <f t="shared" si="62"/>
        <v>1826.6353109409811</v>
      </c>
      <c r="K191" s="84">
        <f t="shared" si="62"/>
        <v>1689.0204185908074</v>
      </c>
      <c r="L191" s="84">
        <f t="shared" si="62"/>
        <v>1549.8769540976241</v>
      </c>
      <c r="M191" s="84">
        <f t="shared" si="62"/>
        <v>1370.8790543380906</v>
      </c>
    </row>
    <row r="193" spans="2:13" x14ac:dyDescent="0.2">
      <c r="B193" t="s">
        <v>94</v>
      </c>
      <c r="E193" s="27">
        <f>E191/E187</f>
        <v>3.8689655172413815</v>
      </c>
      <c r="F193" s="27">
        <f>F191/F187</f>
        <v>3.9554432705558122</v>
      </c>
      <c r="G193" s="27">
        <f>G191/G187</f>
        <v>3.6655716027190657</v>
      </c>
      <c r="H193" s="27">
        <f>H191/H187</f>
        <v>4.2395087454831692</v>
      </c>
      <c r="I193" s="27">
        <f t="shared" ref="I193:M193" si="64">I191/I187</f>
        <v>4.2643043849205871</v>
      </c>
      <c r="J193" s="27">
        <f t="shared" si="64"/>
        <v>3.8757806926296832</v>
      </c>
      <c r="K193" s="27">
        <f t="shared" si="64"/>
        <v>3.4526314288245725</v>
      </c>
      <c r="L193" s="27">
        <f t="shared" si="64"/>
        <v>3.0819050902337177</v>
      </c>
      <c r="M193" s="27">
        <f t="shared" si="64"/>
        <v>2.6694282214725633</v>
      </c>
    </row>
  </sheetData>
  <mergeCells count="13">
    <mergeCell ref="B9:C9"/>
    <mergeCell ref="B10:C10"/>
    <mergeCell ref="B14:C14"/>
    <mergeCell ref="B15:C15"/>
    <mergeCell ref="B20:C20"/>
    <mergeCell ref="B103:C103"/>
    <mergeCell ref="B36:C36"/>
    <mergeCell ref="B59:C59"/>
    <mergeCell ref="B21:C21"/>
    <mergeCell ref="B35:C35"/>
    <mergeCell ref="B33:C33"/>
    <mergeCell ref="B34:C34"/>
    <mergeCell ref="B32:C32"/>
  </mergeCells>
  <dataValidations count="3">
    <dataValidation type="list" allowBlank="1" showInputMessage="1" showErrorMessage="1" sqref="C151" xr:uid="{A9860FC4-7121-3640-9CC7-0479CA47C9E9}">
      <formula1>$B$152:$B$153</formula1>
    </dataValidation>
    <dataValidation type="list" allowBlank="1" showInputMessage="1" showErrorMessage="1" sqref="C156" xr:uid="{25EDC68D-531F-F145-A0B9-673A34937FC1}">
      <formula1>$B$157:$B$158</formula1>
    </dataValidation>
    <dataValidation type="list" allowBlank="1" showInputMessage="1" showErrorMessage="1" sqref="C161" xr:uid="{CADCD68C-A98B-974F-B877-C8AB317C9C39}">
      <formula1>$B$162:$B$163</formula1>
    </dataValidation>
  </dataValidations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ECAE07-60CA-E84E-B9EA-3D13A649B789}">
  <dimension ref="B2:Q30"/>
  <sheetViews>
    <sheetView showGridLines="0" topLeftCell="B1" workbookViewId="0">
      <selection activeCell="L14" sqref="L14"/>
    </sheetView>
  </sheetViews>
  <sheetFormatPr baseColWidth="10" defaultRowHeight="16" x14ac:dyDescent="0.2"/>
  <cols>
    <col min="1" max="1" width="7.33203125" customWidth="1"/>
    <col min="2" max="2" width="17" customWidth="1"/>
    <col min="3" max="3" width="19.83203125" customWidth="1"/>
    <col min="4" max="4" width="14.83203125" customWidth="1"/>
    <col min="5" max="5" width="21.33203125" customWidth="1"/>
    <col min="6" max="6" width="16.33203125" customWidth="1"/>
    <col min="7" max="7" width="14.5" customWidth="1"/>
    <col min="8" max="10" width="18" customWidth="1"/>
    <col min="11" max="13" width="18.6640625" customWidth="1"/>
    <col min="14" max="14" width="20.83203125" customWidth="1"/>
    <col min="15" max="15" width="29.6640625" customWidth="1"/>
    <col min="16" max="16" width="24.5" customWidth="1"/>
    <col min="17" max="17" width="25.6640625" customWidth="1"/>
  </cols>
  <sheetData>
    <row r="2" spans="2:17" x14ac:dyDescent="0.2">
      <c r="B2" s="53" t="s">
        <v>126</v>
      </c>
      <c r="C2" s="54" t="s">
        <v>127</v>
      </c>
      <c r="D2" s="54" t="s">
        <v>130</v>
      </c>
      <c r="E2" s="54" t="s">
        <v>131</v>
      </c>
      <c r="F2" s="54" t="s">
        <v>132</v>
      </c>
      <c r="G2" s="54" t="s">
        <v>93</v>
      </c>
      <c r="H2" s="54" t="s">
        <v>25</v>
      </c>
      <c r="I2" s="54" t="s">
        <v>154</v>
      </c>
      <c r="J2" s="54" t="s">
        <v>155</v>
      </c>
      <c r="K2" s="54" t="s">
        <v>115</v>
      </c>
      <c r="L2" s="54" t="s">
        <v>133</v>
      </c>
      <c r="M2" s="54" t="s">
        <v>135</v>
      </c>
      <c r="N2" s="54" t="s">
        <v>134</v>
      </c>
      <c r="O2" s="54" t="s">
        <v>150</v>
      </c>
      <c r="P2" s="54" t="s">
        <v>151</v>
      </c>
      <c r="Q2" s="55" t="s">
        <v>152</v>
      </c>
    </row>
    <row r="3" spans="2:17" x14ac:dyDescent="0.2">
      <c r="B3" s="48" t="s">
        <v>128</v>
      </c>
      <c r="C3" t="s">
        <v>129</v>
      </c>
      <c r="D3" s="2">
        <v>8166.63</v>
      </c>
      <c r="E3" s="19">
        <v>0.255</v>
      </c>
      <c r="F3">
        <v>0.1</v>
      </c>
      <c r="G3" s="2">
        <v>8279.7999999999993</v>
      </c>
      <c r="H3" s="2">
        <v>8915.7999999999993</v>
      </c>
      <c r="I3" s="19">
        <f t="shared" ref="I3:I10" si="0">H3/(H3+G3)</f>
        <v>0.51849310288678496</v>
      </c>
      <c r="J3" s="19">
        <f t="shared" ref="J3:J10" si="1">G3/(G3+H3)</f>
        <v>0.48150689711321498</v>
      </c>
      <c r="K3" s="19">
        <v>0.13800000000000001</v>
      </c>
      <c r="L3" s="27">
        <v>10.8</v>
      </c>
      <c r="M3" s="27">
        <v>9.6</v>
      </c>
      <c r="N3" s="19">
        <v>-1.9E-2</v>
      </c>
      <c r="O3" s="39">
        <v>95.5</v>
      </c>
      <c r="P3" s="39">
        <v>65.2</v>
      </c>
      <c r="Q3" s="56">
        <v>26.9</v>
      </c>
    </row>
    <row r="4" spans="2:17" x14ac:dyDescent="0.2">
      <c r="B4" s="48" t="s">
        <v>136</v>
      </c>
      <c r="C4" t="s">
        <v>137</v>
      </c>
      <c r="D4">
        <v>250823.21</v>
      </c>
      <c r="E4" s="19">
        <v>0.46700000000000003</v>
      </c>
      <c r="F4">
        <v>0.5</v>
      </c>
      <c r="G4">
        <v>82687.17</v>
      </c>
      <c r="H4">
        <v>36332.239999999998</v>
      </c>
      <c r="I4" s="19">
        <f t="shared" si="0"/>
        <v>0.30526314993495596</v>
      </c>
      <c r="J4" s="19">
        <f t="shared" si="1"/>
        <v>0.69473685006504393</v>
      </c>
      <c r="K4" s="19">
        <v>0.16400000000000001</v>
      </c>
      <c r="L4" s="27">
        <v>17.3</v>
      </c>
      <c r="M4" s="27">
        <v>14.1</v>
      </c>
      <c r="N4" s="19">
        <v>-1E-3</v>
      </c>
      <c r="O4" s="39">
        <v>103.8</v>
      </c>
      <c r="P4" s="39">
        <v>142</v>
      </c>
      <c r="Q4" s="56">
        <v>45</v>
      </c>
    </row>
    <row r="5" spans="2:17" x14ac:dyDescent="0.2">
      <c r="B5" s="48" t="s">
        <v>138</v>
      </c>
      <c r="C5" t="s">
        <v>139</v>
      </c>
      <c r="D5">
        <v>18567.669999999998</v>
      </c>
      <c r="E5" s="19">
        <v>7.5999999999999998E-2</v>
      </c>
      <c r="F5">
        <v>0.6</v>
      </c>
      <c r="G5">
        <v>9065</v>
      </c>
      <c r="H5">
        <v>18338</v>
      </c>
      <c r="I5" s="19">
        <f t="shared" si="0"/>
        <v>0.66919680326971498</v>
      </c>
      <c r="J5" s="19">
        <f t="shared" si="1"/>
        <v>0.33080319673028502</v>
      </c>
      <c r="K5" s="19">
        <v>3.6999999999999998E-2</v>
      </c>
      <c r="L5" s="27">
        <v>14.4</v>
      </c>
      <c r="M5">
        <v>7.7</v>
      </c>
      <c r="N5" s="19">
        <v>2.5000000000000001E-2</v>
      </c>
      <c r="O5" s="39">
        <v>38.1</v>
      </c>
      <c r="P5" s="39">
        <v>16.8</v>
      </c>
      <c r="Q5" s="56">
        <v>16.3</v>
      </c>
    </row>
    <row r="6" spans="2:17" x14ac:dyDescent="0.2">
      <c r="B6" s="48" t="s">
        <v>140</v>
      </c>
      <c r="C6" t="s">
        <v>141</v>
      </c>
      <c r="D6">
        <v>25333</v>
      </c>
      <c r="E6" s="19">
        <v>0.34399999999999997</v>
      </c>
      <c r="F6">
        <v>0</v>
      </c>
      <c r="G6">
        <v>14407</v>
      </c>
      <c r="H6">
        <v>9506.6</v>
      </c>
      <c r="I6" s="19">
        <f t="shared" si="0"/>
        <v>0.39753947544493512</v>
      </c>
      <c r="J6" s="19">
        <f t="shared" si="1"/>
        <v>0.60246052455506494</v>
      </c>
      <c r="K6" s="19">
        <v>0.16800000000000001</v>
      </c>
      <c r="L6" s="27">
        <v>13.7</v>
      </c>
      <c r="M6">
        <v>11.5</v>
      </c>
      <c r="N6" s="19">
        <v>-2.5000000000000001E-2</v>
      </c>
      <c r="O6" s="39">
        <v>58.6</v>
      </c>
      <c r="P6" s="39">
        <v>109</v>
      </c>
      <c r="Q6" s="56">
        <v>34.700000000000003</v>
      </c>
    </row>
    <row r="7" spans="2:17" x14ac:dyDescent="0.2">
      <c r="B7" s="48" t="s">
        <v>142</v>
      </c>
      <c r="C7" t="s">
        <v>143</v>
      </c>
      <c r="D7">
        <v>28674.06</v>
      </c>
      <c r="E7" s="19">
        <v>0.33700000000000002</v>
      </c>
      <c r="F7">
        <v>0.2</v>
      </c>
      <c r="G7">
        <v>21192</v>
      </c>
      <c r="H7">
        <v>41450</v>
      </c>
      <c r="I7" s="19">
        <f t="shared" si="0"/>
        <v>0.66169662526739248</v>
      </c>
      <c r="J7" s="19">
        <f t="shared" si="1"/>
        <v>0.33830337473260752</v>
      </c>
      <c r="K7" s="19">
        <v>0.20100000000000001</v>
      </c>
      <c r="L7" s="27">
        <v>10</v>
      </c>
      <c r="M7">
        <v>8.5</v>
      </c>
      <c r="N7" s="19">
        <v>-8.9999999999999993E-3</v>
      </c>
      <c r="O7" s="39">
        <v>80.8</v>
      </c>
      <c r="P7" s="39">
        <v>101.8</v>
      </c>
      <c r="Q7" s="56">
        <v>32.1</v>
      </c>
    </row>
    <row r="8" spans="2:17" x14ac:dyDescent="0.2">
      <c r="B8" s="48" t="s">
        <v>144</v>
      </c>
      <c r="C8" t="s">
        <v>145</v>
      </c>
      <c r="D8">
        <v>28264.68</v>
      </c>
      <c r="E8" s="19">
        <v>0.36399999999999999</v>
      </c>
      <c r="F8">
        <v>0.1</v>
      </c>
      <c r="G8">
        <v>3877.12</v>
      </c>
      <c r="H8">
        <v>4874.84</v>
      </c>
      <c r="I8" s="19">
        <f t="shared" si="0"/>
        <v>0.55699980347259359</v>
      </c>
      <c r="J8" s="19">
        <f t="shared" si="1"/>
        <v>0.44300019652740646</v>
      </c>
      <c r="K8" s="19">
        <v>7.4999999999999997E-2</v>
      </c>
      <c r="L8" s="27">
        <v>32.4</v>
      </c>
      <c r="M8">
        <v>16.600000000000001</v>
      </c>
      <c r="N8" s="19">
        <v>1.319</v>
      </c>
      <c r="O8" s="39">
        <v>115</v>
      </c>
      <c r="P8" s="39">
        <v>85</v>
      </c>
      <c r="Q8" s="56">
        <v>42.5</v>
      </c>
    </row>
    <row r="9" spans="2:17" x14ac:dyDescent="0.2">
      <c r="B9" s="48" t="s">
        <v>146</v>
      </c>
      <c r="C9" t="s">
        <v>147</v>
      </c>
      <c r="D9">
        <v>321.22000000000003</v>
      </c>
      <c r="E9" s="19">
        <v>0.217</v>
      </c>
      <c r="F9">
        <v>0.5</v>
      </c>
      <c r="G9">
        <v>2037.78</v>
      </c>
      <c r="H9">
        <v>501.43</v>
      </c>
      <c r="I9" s="19">
        <f t="shared" si="0"/>
        <v>0.19747480515593432</v>
      </c>
      <c r="J9" s="19">
        <f t="shared" si="1"/>
        <v>0.8025251948440657</v>
      </c>
      <c r="K9" s="19">
        <v>0.104</v>
      </c>
      <c r="L9" s="27">
        <v>8.3000000000000007</v>
      </c>
      <c r="M9">
        <v>8.8000000000000007</v>
      </c>
      <c r="N9" s="19">
        <v>-3.5000000000000003E-2</v>
      </c>
      <c r="O9" s="39">
        <v>136.19999999999999</v>
      </c>
      <c r="P9" s="39">
        <v>35</v>
      </c>
      <c r="Q9" s="56">
        <v>27.6</v>
      </c>
    </row>
    <row r="10" spans="2:17" x14ac:dyDescent="0.2">
      <c r="B10" s="50" t="s">
        <v>148</v>
      </c>
      <c r="C10" s="51" t="s">
        <v>149</v>
      </c>
      <c r="D10" s="57">
        <v>8723</v>
      </c>
      <c r="E10" s="52">
        <v>0.22600000000000001</v>
      </c>
      <c r="F10" s="51">
        <v>0.5</v>
      </c>
      <c r="G10" s="51">
        <v>3991.6</v>
      </c>
      <c r="H10" s="51">
        <v>1789.8</v>
      </c>
      <c r="I10" s="52">
        <f t="shared" si="0"/>
        <v>0.30957899470716438</v>
      </c>
      <c r="J10" s="52">
        <f t="shared" si="1"/>
        <v>0.69042100529283568</v>
      </c>
      <c r="K10" s="52">
        <v>0.129</v>
      </c>
      <c r="L10" s="58">
        <v>19.899999999999999</v>
      </c>
      <c r="M10" s="51">
        <v>10.5</v>
      </c>
      <c r="N10" s="52">
        <v>3.0000000000000001E-3</v>
      </c>
      <c r="O10" s="59">
        <v>74.400000000000006</v>
      </c>
      <c r="P10" s="59">
        <v>47.1</v>
      </c>
      <c r="Q10" s="60">
        <v>42.1</v>
      </c>
    </row>
    <row r="11" spans="2:17" x14ac:dyDescent="0.2">
      <c r="D11" s="2"/>
      <c r="E11" s="19"/>
      <c r="I11" s="19"/>
      <c r="J11" s="19"/>
      <c r="K11" s="19"/>
      <c r="N11" s="19"/>
      <c r="O11" s="39"/>
      <c r="P11" s="39"/>
      <c r="Q11" s="39"/>
    </row>
    <row r="12" spans="2:17" x14ac:dyDescent="0.2">
      <c r="B12" s="41" t="s">
        <v>157</v>
      </c>
      <c r="C12" s="42"/>
      <c r="D12" s="43"/>
      <c r="E12" s="44">
        <f>MAX(E3:E10)</f>
        <v>0.46700000000000003</v>
      </c>
      <c r="F12" s="42"/>
      <c r="G12" s="42"/>
      <c r="H12" s="42"/>
      <c r="I12" s="44">
        <f t="shared" ref="I12:Q12" si="2">MAX(I3:I10)</f>
        <v>0.66919680326971498</v>
      </c>
      <c r="J12" s="44">
        <f t="shared" si="2"/>
        <v>0.8025251948440657</v>
      </c>
      <c r="K12" s="44">
        <f t="shared" si="2"/>
        <v>0.20100000000000001</v>
      </c>
      <c r="L12" s="45">
        <f t="shared" si="2"/>
        <v>32.4</v>
      </c>
      <c r="M12" s="45">
        <f t="shared" si="2"/>
        <v>16.600000000000001</v>
      </c>
      <c r="N12" s="44">
        <f t="shared" si="2"/>
        <v>1.319</v>
      </c>
      <c r="O12" s="46">
        <f t="shared" si="2"/>
        <v>136.19999999999999</v>
      </c>
      <c r="P12" s="46">
        <f t="shared" si="2"/>
        <v>142</v>
      </c>
      <c r="Q12" s="47">
        <f t="shared" si="2"/>
        <v>45</v>
      </c>
    </row>
    <row r="13" spans="2:17" x14ac:dyDescent="0.2">
      <c r="B13" s="48" t="s">
        <v>159</v>
      </c>
      <c r="E13" s="19">
        <f>QUARTILE(E3:E10,3)</f>
        <v>0.34899999999999998</v>
      </c>
      <c r="I13" s="19">
        <f t="shared" ref="I13:Q13" si="3">QUARTILE(I3:I10,3)</f>
        <v>0.58317400892129334</v>
      </c>
      <c r="J13" s="19">
        <f t="shared" si="3"/>
        <v>0.69149996648588774</v>
      </c>
      <c r="K13" s="19">
        <f t="shared" si="3"/>
        <v>0.16500000000000001</v>
      </c>
      <c r="L13" s="27">
        <f t="shared" si="3"/>
        <v>17.95</v>
      </c>
      <c r="M13" s="27">
        <f t="shared" si="3"/>
        <v>12.15</v>
      </c>
      <c r="N13" s="19">
        <f t="shared" si="3"/>
        <v>8.5000000000000006E-3</v>
      </c>
      <c r="O13">
        <f t="shared" si="3"/>
        <v>106.6</v>
      </c>
      <c r="P13">
        <f t="shared" si="3"/>
        <v>103.6</v>
      </c>
      <c r="Q13" s="49">
        <f t="shared" si="3"/>
        <v>42.2</v>
      </c>
    </row>
    <row r="14" spans="2:17" x14ac:dyDescent="0.2">
      <c r="B14" s="61" t="s">
        <v>156</v>
      </c>
      <c r="C14" s="62"/>
      <c r="D14" s="62"/>
      <c r="E14" s="63">
        <f>MEDIAN(E3:E10)</f>
        <v>0.29600000000000004</v>
      </c>
      <c r="F14" s="62">
        <f>MEDIAN(F3:F10)</f>
        <v>0.35</v>
      </c>
      <c r="G14" s="62"/>
      <c r="H14" s="62"/>
      <c r="I14" s="63">
        <f t="shared" ref="I14:Q14" si="4">MEDIAN(I3:I10)</f>
        <v>0.45801628916586001</v>
      </c>
      <c r="J14" s="63">
        <f t="shared" si="4"/>
        <v>0.54198371083413999</v>
      </c>
      <c r="K14" s="63">
        <f t="shared" si="4"/>
        <v>0.13350000000000001</v>
      </c>
      <c r="L14" s="72">
        <f t="shared" si="4"/>
        <v>14.05</v>
      </c>
      <c r="M14" s="72">
        <f t="shared" si="4"/>
        <v>10.050000000000001</v>
      </c>
      <c r="N14" s="63">
        <f t="shared" si="4"/>
        <v>-4.9999999999999992E-3</v>
      </c>
      <c r="O14" s="62">
        <f t="shared" si="4"/>
        <v>88.15</v>
      </c>
      <c r="P14" s="62">
        <f t="shared" si="4"/>
        <v>75.099999999999994</v>
      </c>
      <c r="Q14" s="64">
        <f t="shared" si="4"/>
        <v>33.400000000000006</v>
      </c>
    </row>
    <row r="15" spans="2:17" x14ac:dyDescent="0.2">
      <c r="B15" s="48" t="s">
        <v>160</v>
      </c>
      <c r="E15" s="19">
        <f>QUARTILE(E3:E10,1)</f>
        <v>0.22375</v>
      </c>
      <c r="I15" s="19">
        <f t="shared" ref="I15:Q15" si="5">QUARTILE(I3:I10,1)</f>
        <v>0.30850003351411226</v>
      </c>
      <c r="J15" s="19">
        <f t="shared" si="5"/>
        <v>0.41682599107870671</v>
      </c>
      <c r="K15" s="19">
        <f t="shared" si="5"/>
        <v>9.6750000000000003E-2</v>
      </c>
      <c r="L15" s="27">
        <f t="shared" si="5"/>
        <v>10.600000000000001</v>
      </c>
      <c r="M15" s="27">
        <f t="shared" si="5"/>
        <v>8.7250000000000014</v>
      </c>
      <c r="N15" s="19">
        <f t="shared" si="5"/>
        <v>-2.0500000000000001E-2</v>
      </c>
      <c r="O15" s="39">
        <f t="shared" si="5"/>
        <v>70.45</v>
      </c>
      <c r="P15" s="39">
        <f t="shared" si="5"/>
        <v>44.075000000000003</v>
      </c>
      <c r="Q15" s="56">
        <f t="shared" si="5"/>
        <v>27.425000000000001</v>
      </c>
    </row>
    <row r="16" spans="2:17" x14ac:dyDescent="0.2">
      <c r="B16" s="50" t="s">
        <v>158</v>
      </c>
      <c r="C16" s="51"/>
      <c r="D16" s="51"/>
      <c r="E16" s="52">
        <f>MIN(E3:E10)</f>
        <v>7.5999999999999998E-2</v>
      </c>
      <c r="F16" s="51"/>
      <c r="G16" s="51"/>
      <c r="H16" s="51"/>
      <c r="I16" s="52">
        <f t="shared" ref="I16:Q16" si="6">MIN(I3:I10)</f>
        <v>0.19747480515593432</v>
      </c>
      <c r="J16" s="52">
        <f t="shared" si="6"/>
        <v>0.33080319673028502</v>
      </c>
      <c r="K16" s="52">
        <f t="shared" si="6"/>
        <v>3.6999999999999998E-2</v>
      </c>
      <c r="L16" s="58">
        <f t="shared" si="6"/>
        <v>8.3000000000000007</v>
      </c>
      <c r="M16" s="58">
        <f t="shared" si="6"/>
        <v>7.7</v>
      </c>
      <c r="N16" s="52">
        <f t="shared" si="6"/>
        <v>-3.5000000000000003E-2</v>
      </c>
      <c r="O16" s="59">
        <f t="shared" si="6"/>
        <v>38.1</v>
      </c>
      <c r="P16" s="59">
        <f t="shared" si="6"/>
        <v>16.8</v>
      </c>
      <c r="Q16" s="60">
        <f t="shared" si="6"/>
        <v>16.3</v>
      </c>
    </row>
    <row r="18" spans="2:17" x14ac:dyDescent="0.2">
      <c r="B18" s="65" t="s">
        <v>153</v>
      </c>
      <c r="C18" s="66" t="s">
        <v>0</v>
      </c>
      <c r="D18" s="66">
        <v>2476.33</v>
      </c>
      <c r="E18" s="67">
        <f>1-Data!G94</f>
        <v>0.29610405530518824</v>
      </c>
      <c r="F18" s="66">
        <v>0.7</v>
      </c>
      <c r="G18" s="68">
        <f>Data!G46</f>
        <v>2177.4</v>
      </c>
      <c r="H18" s="68">
        <f>Data!G50</f>
        <v>2672.5</v>
      </c>
      <c r="I18" s="67">
        <f>H18/(H18+G18)</f>
        <v>0.55104228953174295</v>
      </c>
      <c r="J18" s="67">
        <f>G18/(G18+H18)</f>
        <v>0.44895771046825711</v>
      </c>
      <c r="K18" s="67">
        <f>DFCF!E30</f>
        <v>0.12487217288355389</v>
      </c>
      <c r="L18" s="69">
        <v>6.4</v>
      </c>
      <c r="M18" s="69">
        <v>6.5</v>
      </c>
      <c r="N18" s="67">
        <v>7.0000000000000001E-3</v>
      </c>
      <c r="O18" s="70">
        <f>Data!G158</f>
        <v>73.85311640696608</v>
      </c>
      <c r="P18" s="70">
        <f>Data!G163</f>
        <v>138.68996333638864</v>
      </c>
      <c r="Q18" s="71">
        <f>Data!G153</f>
        <v>39.338976544329</v>
      </c>
    </row>
    <row r="20" spans="2:17" x14ac:dyDescent="0.2">
      <c r="B20" s="20" t="s">
        <v>161</v>
      </c>
      <c r="C20" s="20"/>
      <c r="D20" s="20" t="s">
        <v>154</v>
      </c>
      <c r="E20" s="20" t="s">
        <v>155</v>
      </c>
      <c r="F20" s="20" t="s">
        <v>164</v>
      </c>
      <c r="G20" s="20" t="s">
        <v>165</v>
      </c>
    </row>
    <row r="21" spans="2:17" x14ac:dyDescent="0.2">
      <c r="B21" t="s">
        <v>163</v>
      </c>
      <c r="D21" s="19">
        <f>I18</f>
        <v>0.55104228953174295</v>
      </c>
      <c r="E21" s="19">
        <f>J18</f>
        <v>0.44895771046825711</v>
      </c>
      <c r="F21">
        <f>F18</f>
        <v>0.7</v>
      </c>
      <c r="G21">
        <f>F21*(1+(1-Marginal_Tax_Rate)*(E21/D21))</f>
        <v>1.1277399438727782</v>
      </c>
    </row>
    <row r="22" spans="2:17" x14ac:dyDescent="0.2">
      <c r="B22" t="s">
        <v>162</v>
      </c>
      <c r="D22" s="19">
        <f>I14</f>
        <v>0.45801628916586001</v>
      </c>
      <c r="E22" s="19">
        <f>J14</f>
        <v>0.54198371083413999</v>
      </c>
      <c r="F22">
        <f>F14</f>
        <v>0.35</v>
      </c>
      <c r="G22">
        <f>F22*(1+(1-Marginal_Tax_Rate)*(E22/D22))</f>
        <v>0.66062372116298618</v>
      </c>
    </row>
    <row r="24" spans="2:17" x14ac:dyDescent="0.2">
      <c r="B24" t="s">
        <v>172</v>
      </c>
      <c r="D24" s="19">
        <f>Risk_Free_Rate+(Equity_Risk_Premium*G21)</f>
        <v>9.5461071468662298E-2</v>
      </c>
    </row>
    <row r="25" spans="2:17" x14ac:dyDescent="0.2">
      <c r="B25" t="s">
        <v>171</v>
      </c>
      <c r="D25" s="19">
        <f>Risk_Free_Rate+(G22*Equity_Risk_Premium)</f>
        <v>7.4394129824450678E-2</v>
      </c>
    </row>
    <row r="26" spans="2:17" x14ac:dyDescent="0.2">
      <c r="B26" t="s">
        <v>173</v>
      </c>
      <c r="D26" s="19">
        <f>AVERAGE(D24:D25)</f>
        <v>8.4927600646556495E-2</v>
      </c>
    </row>
    <row r="28" spans="2:17" x14ac:dyDescent="0.2">
      <c r="B28" t="s">
        <v>174</v>
      </c>
      <c r="D28" s="19" cm="1">
        <f t="array" ref="D28">D21*D24+Cost_of_Debt*E21</f>
        <v>8.1785338563681725E-2</v>
      </c>
    </row>
    <row r="29" spans="2:17" x14ac:dyDescent="0.2">
      <c r="B29" t="s">
        <v>175</v>
      </c>
      <c r="D29" s="19">
        <f>D22*D25+E22*Cost_of_Debt</f>
        <v>6.9302664482137233E-2</v>
      </c>
    </row>
    <row r="30" spans="2:17" x14ac:dyDescent="0.2">
      <c r="B30" t="s">
        <v>176</v>
      </c>
      <c r="D30" s="19">
        <f>AVERAGE(D28:D29)</f>
        <v>7.5544001522909479E-2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B0CE5A-F9EA-B24B-89F8-FF90CD99B200}">
  <dimension ref="B2:O74"/>
  <sheetViews>
    <sheetView showGridLines="0" tabSelected="1" topLeftCell="A49" workbookViewId="0">
      <selection activeCell="C9" sqref="C9"/>
    </sheetView>
  </sheetViews>
  <sheetFormatPr baseColWidth="10" defaultRowHeight="16" x14ac:dyDescent="0.2"/>
  <cols>
    <col min="1" max="1" width="8" customWidth="1"/>
    <col min="2" max="2" width="28.1640625" customWidth="1"/>
    <col min="3" max="3" width="11.5" bestFit="1" customWidth="1"/>
    <col min="4" max="4" width="12.6640625" customWidth="1"/>
    <col min="5" max="5" width="18.33203125" customWidth="1"/>
    <col min="6" max="6" width="12.1640625" customWidth="1"/>
    <col min="7" max="7" width="14.33203125" customWidth="1"/>
    <col min="8" max="8" width="17.83203125" customWidth="1"/>
    <col min="9" max="9" width="13.33203125" customWidth="1"/>
    <col min="10" max="10" width="12.83203125" customWidth="1"/>
    <col min="11" max="15" width="11.5" bestFit="1" customWidth="1"/>
  </cols>
  <sheetData>
    <row r="2" spans="2:15" x14ac:dyDescent="0.2">
      <c r="B2" s="20" t="s">
        <v>166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4" spans="2:15" x14ac:dyDescent="0.2">
      <c r="B4" t="s">
        <v>168</v>
      </c>
      <c r="C4" s="21">
        <v>4.4600000000000001E-2</v>
      </c>
      <c r="E4" s="20" t="s">
        <v>181</v>
      </c>
      <c r="F4" s="12"/>
      <c r="H4" s="20" t="s">
        <v>194</v>
      </c>
      <c r="I4" s="12"/>
    </row>
    <row r="5" spans="2:15" x14ac:dyDescent="0.2">
      <c r="B5" t="s">
        <v>169</v>
      </c>
      <c r="C5" s="21">
        <v>4.5100000000000001E-2</v>
      </c>
      <c r="E5" t="s">
        <v>180</v>
      </c>
      <c r="F5" s="21">
        <v>3.2000000000000002E-3</v>
      </c>
      <c r="H5" t="s">
        <v>191</v>
      </c>
      <c r="I5" s="73">
        <v>9</v>
      </c>
    </row>
    <row r="6" spans="2:15" x14ac:dyDescent="0.2">
      <c r="B6" t="s">
        <v>89</v>
      </c>
      <c r="C6" s="21">
        <v>6.5000000000000002E-2</v>
      </c>
    </row>
    <row r="7" spans="2:15" x14ac:dyDescent="0.2">
      <c r="E7" t="s">
        <v>182</v>
      </c>
      <c r="F7" s="84">
        <f>O46</f>
        <v>368.7788672664218</v>
      </c>
      <c r="H7" t="s">
        <v>192</v>
      </c>
      <c r="I7" s="84">
        <f>O48</f>
        <v>568.22004078191844</v>
      </c>
    </row>
    <row r="8" spans="2:15" x14ac:dyDescent="0.2">
      <c r="B8" t="s">
        <v>167</v>
      </c>
      <c r="C8" s="19">
        <f>WACC!D26</f>
        <v>8.4927600646556495E-2</v>
      </c>
      <c r="F8" s="84"/>
    </row>
    <row r="9" spans="2:15" x14ac:dyDescent="0.2">
      <c r="B9" t="s">
        <v>170</v>
      </c>
      <c r="C9" s="19">
        <f>WACC!D30</f>
        <v>7.5544001522909479E-2</v>
      </c>
      <c r="E9" t="s">
        <v>183</v>
      </c>
      <c r="F9" s="84">
        <f>(F7*(1+Cost_of_Capital)/(Cost_of_Capital-F5))</f>
        <v>5482.6646332413366</v>
      </c>
      <c r="H9" t="s">
        <v>183</v>
      </c>
      <c r="I9" s="84">
        <f>I7*I5</f>
        <v>5113.9803670372658</v>
      </c>
    </row>
    <row r="10" spans="2:15" x14ac:dyDescent="0.2">
      <c r="C10" s="19"/>
      <c r="E10" t="s">
        <v>188</v>
      </c>
      <c r="F10" s="27">
        <f>F9/O48</f>
        <v>9.6488406598555194</v>
      </c>
      <c r="H10" t="s">
        <v>193</v>
      </c>
      <c r="I10" s="19">
        <f>(I9*Cost_of_Capital-O46)/(I9+O46)</f>
        <v>3.2012482436500184E-3</v>
      </c>
    </row>
    <row r="11" spans="2:15" x14ac:dyDescent="0.2">
      <c r="B11" t="s">
        <v>189</v>
      </c>
      <c r="C11" s="39">
        <v>152.6</v>
      </c>
      <c r="F11" s="2"/>
      <c r="I11" s="2"/>
    </row>
    <row r="12" spans="2:15" x14ac:dyDescent="0.2">
      <c r="E12" t="s">
        <v>184</v>
      </c>
      <c r="F12" s="84">
        <f>F9*O51</f>
        <v>2846.6759952373523</v>
      </c>
      <c r="H12" t="s">
        <v>184</v>
      </c>
      <c r="I12" s="84">
        <f>I9*O51</f>
        <v>2655.2499787596034</v>
      </c>
    </row>
    <row r="13" spans="2:15" x14ac:dyDescent="0.2">
      <c r="F13" s="2"/>
      <c r="I13" s="2"/>
    </row>
    <row r="14" spans="2:15" x14ac:dyDescent="0.2">
      <c r="E14" t="s">
        <v>183</v>
      </c>
      <c r="F14" s="84">
        <f>F12</f>
        <v>2846.6759952373523</v>
      </c>
      <c r="H14" t="s">
        <v>183</v>
      </c>
      <c r="I14" s="84">
        <f>I12</f>
        <v>2655.2499787596034</v>
      </c>
    </row>
    <row r="15" spans="2:15" x14ac:dyDescent="0.2">
      <c r="E15" t="s">
        <v>185</v>
      </c>
      <c r="F15" s="84">
        <f>SUM(F53:O53)</f>
        <v>2278.3409270912412</v>
      </c>
      <c r="H15" t="s">
        <v>185</v>
      </c>
      <c r="I15" s="84">
        <f>SUM(F53:O53)</f>
        <v>2278.3409270912412</v>
      </c>
    </row>
    <row r="16" spans="2:15" x14ac:dyDescent="0.2">
      <c r="E16" t="s">
        <v>186</v>
      </c>
      <c r="F16" s="84">
        <f>Data!G37</f>
        <v>403.3</v>
      </c>
      <c r="H16" t="s">
        <v>186</v>
      </c>
      <c r="I16" s="84">
        <f>Data!G37</f>
        <v>403.3</v>
      </c>
    </row>
    <row r="17" spans="2:15" x14ac:dyDescent="0.2">
      <c r="E17" t="s">
        <v>187</v>
      </c>
      <c r="F17" s="84">
        <f>-Data!G46</f>
        <v>-2177.4</v>
      </c>
      <c r="H17" t="s">
        <v>187</v>
      </c>
      <c r="I17" s="84">
        <f>-Data!G46</f>
        <v>-2177.4</v>
      </c>
    </row>
    <row r="18" spans="2:15" x14ac:dyDescent="0.2">
      <c r="E18" s="24" t="s">
        <v>25</v>
      </c>
      <c r="F18" s="85">
        <f>SUM(F14:F17)</f>
        <v>3350.916922328594</v>
      </c>
      <c r="H18" s="24" t="s">
        <v>25</v>
      </c>
      <c r="I18" s="85">
        <f>SUM(I14:I17)</f>
        <v>3159.4909058508442</v>
      </c>
    </row>
    <row r="19" spans="2:15" x14ac:dyDescent="0.2">
      <c r="E19" s="24"/>
      <c r="F19" s="11"/>
      <c r="H19" s="24"/>
      <c r="I19" s="11"/>
    </row>
    <row r="20" spans="2:15" x14ac:dyDescent="0.2">
      <c r="E20" s="24" t="s">
        <v>190</v>
      </c>
      <c r="F20" s="85">
        <f>F18/C11</f>
        <v>21.958826489702453</v>
      </c>
      <c r="H20" s="24" t="s">
        <v>190</v>
      </c>
      <c r="I20" s="85">
        <f>I18/C11</f>
        <v>20.70439649967788</v>
      </c>
    </row>
    <row r="22" spans="2:15" ht="17" thickBot="1" x14ac:dyDescent="0.25">
      <c r="B22" s="12"/>
      <c r="C22" s="31"/>
      <c r="D22" s="31" t="s">
        <v>48</v>
      </c>
      <c r="E22" s="31"/>
      <c r="F22" s="80"/>
      <c r="G22" s="33"/>
      <c r="H22" s="33"/>
      <c r="I22" s="33"/>
      <c r="J22" s="33" t="s">
        <v>47</v>
      </c>
      <c r="K22" s="33"/>
      <c r="L22" s="33"/>
      <c r="M22" s="33"/>
      <c r="N22" s="33"/>
      <c r="O22" s="33"/>
    </row>
    <row r="23" spans="2:15" x14ac:dyDescent="0.2">
      <c r="B23" s="20" t="s">
        <v>8</v>
      </c>
      <c r="C23" s="13">
        <v>2022</v>
      </c>
      <c r="D23" s="13">
        <v>2023</v>
      </c>
      <c r="E23" s="13">
        <v>2024</v>
      </c>
      <c r="F23" s="79">
        <v>2025</v>
      </c>
      <c r="G23" s="29">
        <v>2026</v>
      </c>
      <c r="H23" s="20">
        <v>2027</v>
      </c>
      <c r="I23" s="20">
        <v>2028</v>
      </c>
      <c r="J23" s="20">
        <v>2029</v>
      </c>
      <c r="K23" s="20">
        <v>2030</v>
      </c>
      <c r="L23" s="20">
        <v>2031</v>
      </c>
      <c r="M23" s="20">
        <v>2032</v>
      </c>
      <c r="N23" s="20">
        <v>2033</v>
      </c>
      <c r="O23" s="20">
        <v>2034</v>
      </c>
    </row>
    <row r="24" spans="2:15" x14ac:dyDescent="0.2">
      <c r="B24" t="s">
        <v>2</v>
      </c>
      <c r="C24" s="81">
        <f>Data!E9</f>
        <v>2939.7</v>
      </c>
      <c r="D24" s="81">
        <f>Data!F9</f>
        <v>3044.5</v>
      </c>
      <c r="E24" s="81">
        <f>Data!G9</f>
        <v>3099.89</v>
      </c>
      <c r="F24" s="81">
        <f>Data!I9</f>
        <v>3128.8022499999988</v>
      </c>
      <c r="G24" s="81">
        <f>Data!J9</f>
        <v>3175.7342837499987</v>
      </c>
      <c r="H24" s="81">
        <f>Data!K9</f>
        <v>3215.4309622968735</v>
      </c>
      <c r="I24" s="81">
        <f>Data!L9</f>
        <v>3247.5852719198424</v>
      </c>
      <c r="J24" s="81">
        <f>Data!M9</f>
        <v>3280.0611246390408</v>
      </c>
      <c r="K24" s="84">
        <f>J24*(1+K25)</f>
        <v>3312.8617358854312</v>
      </c>
      <c r="L24" s="84">
        <f t="shared" ref="L24:O24" si="0">K24*(1+L25)</f>
        <v>3345.9903532442854</v>
      </c>
      <c r="M24" s="84">
        <f t="shared" si="0"/>
        <v>3379.4502567767281</v>
      </c>
      <c r="N24" s="84">
        <f t="shared" si="0"/>
        <v>3413.2447593444954</v>
      </c>
      <c r="O24" s="84">
        <f t="shared" si="0"/>
        <v>3447.3772069379402</v>
      </c>
    </row>
    <row r="25" spans="2:15" x14ac:dyDescent="0.2">
      <c r="B25" s="8" t="s">
        <v>95</v>
      </c>
      <c r="C25" s="25" t="str">
        <f t="shared" ref="C25:J25" si="1">IFERROR(C24/B24-1, "N/A")</f>
        <v>N/A</v>
      </c>
      <c r="D25" s="28">
        <f t="shared" si="1"/>
        <v>3.564989624791659E-2</v>
      </c>
      <c r="E25" s="28">
        <f t="shared" si="1"/>
        <v>1.819346362292662E-2</v>
      </c>
      <c r="F25" s="28">
        <f t="shared" si="1"/>
        <v>9.3268632112748495E-3</v>
      </c>
      <c r="G25" s="28">
        <f t="shared" si="1"/>
        <v>1.4999999999999902E-2</v>
      </c>
      <c r="H25" s="28">
        <f t="shared" si="1"/>
        <v>1.2499999999999956E-2</v>
      </c>
      <c r="I25" s="28">
        <f t="shared" si="1"/>
        <v>1.0000000000000009E-2</v>
      </c>
      <c r="J25" s="28">
        <f t="shared" si="1"/>
        <v>1.0000000000000009E-2</v>
      </c>
      <c r="K25" s="21">
        <v>0.01</v>
      </c>
      <c r="L25" s="21">
        <v>0.01</v>
      </c>
      <c r="M25" s="21">
        <v>0.01</v>
      </c>
      <c r="N25" s="21">
        <v>0.01</v>
      </c>
      <c r="O25" s="21">
        <v>0.01</v>
      </c>
    </row>
    <row r="27" spans="2:15" x14ac:dyDescent="0.2">
      <c r="B27" t="s">
        <v>112</v>
      </c>
      <c r="C27" s="84">
        <f>Data!E16+Data!E10</f>
        <v>-2564.3000000000002</v>
      </c>
      <c r="D27" s="84">
        <f>Data!F16+Data!F10</f>
        <v>-2704.1000000000004</v>
      </c>
      <c r="E27" s="84">
        <f>Data!G16+Data!G10</f>
        <v>-2712.8</v>
      </c>
      <c r="F27" s="84">
        <f>Data!I16+Data!I10</f>
        <v>-2764.9225483249988</v>
      </c>
      <c r="G27" s="84">
        <f>Data!J16+Data!J10</f>
        <v>-2798.1394774121236</v>
      </c>
      <c r="H27" s="84">
        <f>Data!K16+Data!K10</f>
        <v>-2819.932953934358</v>
      </c>
      <c r="I27" s="84">
        <f>Data!L16+Data!L10</f>
        <v>-2838.3895276579424</v>
      </c>
      <c r="J27" s="84">
        <f>Data!M16+Data!M10</f>
        <v>-2860.2133006852437</v>
      </c>
      <c r="K27" s="84">
        <f>K29-K24</f>
        <v>-2865.6254015408981</v>
      </c>
      <c r="L27" s="84">
        <f t="shared" ref="L27:O27" si="2">L29-L24</f>
        <v>-2894.2816555563068</v>
      </c>
      <c r="M27" s="84">
        <f t="shared" si="2"/>
        <v>-2923.2244721118695</v>
      </c>
      <c r="N27" s="84">
        <f t="shared" si="2"/>
        <v>-2952.4567168329886</v>
      </c>
      <c r="O27" s="84">
        <f t="shared" si="2"/>
        <v>-2981.9812840013183</v>
      </c>
    </row>
    <row r="29" spans="2:15" x14ac:dyDescent="0.2">
      <c r="B29" s="24" t="s">
        <v>78</v>
      </c>
      <c r="C29" s="83">
        <f>Data!E18</f>
        <v>375.39999999999975</v>
      </c>
      <c r="D29" s="83">
        <f>Data!F18</f>
        <v>340.39999999999981</v>
      </c>
      <c r="E29" s="83">
        <f>Data!G18</f>
        <v>387.08999999999986</v>
      </c>
      <c r="F29" s="83">
        <f>Data!I18</f>
        <v>363.87970167500009</v>
      </c>
      <c r="G29" s="83">
        <f>Data!J18</f>
        <v>377.5948063378749</v>
      </c>
      <c r="H29" s="83">
        <f>Data!K18</f>
        <v>395.49800836251552</v>
      </c>
      <c r="I29" s="83">
        <f>Data!L18</f>
        <v>409.19574426190013</v>
      </c>
      <c r="J29" s="83">
        <f>Data!M18</f>
        <v>419.84782395379744</v>
      </c>
      <c r="K29" s="85">
        <f>K24*K30</f>
        <v>447.23633434453325</v>
      </c>
      <c r="L29" s="85">
        <f t="shared" ref="L29:O29" si="3">L24*L30</f>
        <v>451.70869768797854</v>
      </c>
      <c r="M29" s="85">
        <f t="shared" si="3"/>
        <v>456.22578466485834</v>
      </c>
      <c r="N29" s="85">
        <f t="shared" si="3"/>
        <v>460.78804251150689</v>
      </c>
      <c r="O29" s="85">
        <f t="shared" si="3"/>
        <v>465.39592293662196</v>
      </c>
    </row>
    <row r="30" spans="2:15" x14ac:dyDescent="0.2">
      <c r="B30" s="8" t="s">
        <v>115</v>
      </c>
      <c r="C30" s="28">
        <f>C29/C24</f>
        <v>0.12770010545293731</v>
      </c>
      <c r="D30" s="28">
        <f t="shared" ref="D30:J30" si="4">D29/D24</f>
        <v>0.11180817868287068</v>
      </c>
      <c r="E30" s="28">
        <f t="shared" si="4"/>
        <v>0.12487217288355389</v>
      </c>
      <c r="F30" s="28">
        <f t="shared" si="4"/>
        <v>0.11630000000000007</v>
      </c>
      <c r="G30" s="28">
        <f t="shared" si="4"/>
        <v>0.11890000000000002</v>
      </c>
      <c r="H30" s="28">
        <f t="shared" si="4"/>
        <v>0.12300000000000003</v>
      </c>
      <c r="I30" s="28">
        <f t="shared" si="4"/>
        <v>0.126</v>
      </c>
      <c r="J30" s="28">
        <f t="shared" si="4"/>
        <v>0.12800000000000006</v>
      </c>
      <c r="K30" s="21">
        <v>0.13500000000000001</v>
      </c>
      <c r="L30" s="21">
        <v>0.13500000000000001</v>
      </c>
      <c r="M30" s="21">
        <v>0.13500000000000001</v>
      </c>
      <c r="N30" s="21">
        <v>0.13500000000000001</v>
      </c>
      <c r="O30" s="21">
        <v>0.13500000000000001</v>
      </c>
    </row>
    <row r="32" spans="2:15" x14ac:dyDescent="0.2">
      <c r="B32" t="s">
        <v>109</v>
      </c>
      <c r="C32" s="84">
        <f t="shared" ref="C32:J32" si="5">-C29*Marginal_Tax_Rate</f>
        <v>-93.849999999999937</v>
      </c>
      <c r="D32" s="84">
        <f t="shared" si="5"/>
        <v>-85.099999999999952</v>
      </c>
      <c r="E32" s="84">
        <f t="shared" si="5"/>
        <v>-96.772499999999965</v>
      </c>
      <c r="F32" s="84">
        <f t="shared" si="5"/>
        <v>-90.969925418750023</v>
      </c>
      <c r="G32" s="84">
        <f t="shared" si="5"/>
        <v>-94.398701584468725</v>
      </c>
      <c r="H32" s="84">
        <f t="shared" si="5"/>
        <v>-98.87450209062888</v>
      </c>
      <c r="I32" s="84">
        <f t="shared" si="5"/>
        <v>-102.29893606547503</v>
      </c>
      <c r="J32" s="84">
        <f t="shared" si="5"/>
        <v>-104.96195598844936</v>
      </c>
      <c r="K32" s="84">
        <f>K29*-K33</f>
        <v>-111.80908358613331</v>
      </c>
      <c r="L32" s="84">
        <f t="shared" ref="L32:O32" si="6">L29*-L33</f>
        <v>-112.92717442199464</v>
      </c>
      <c r="M32" s="84">
        <f t="shared" si="6"/>
        <v>-114.05644616621458</v>
      </c>
      <c r="N32" s="84">
        <f t="shared" si="6"/>
        <v>-115.19701062787672</v>
      </c>
      <c r="O32" s="84">
        <f t="shared" si="6"/>
        <v>-116.34898073415549</v>
      </c>
    </row>
    <row r="33" spans="2:15" x14ac:dyDescent="0.2">
      <c r="B33" s="8" t="s">
        <v>116</v>
      </c>
      <c r="C33" s="28">
        <f>-C32/C29</f>
        <v>0.25</v>
      </c>
      <c r="D33" s="28">
        <f t="shared" ref="D33:J33" si="7">-D32/D29</f>
        <v>0.25</v>
      </c>
      <c r="E33" s="28">
        <f t="shared" si="7"/>
        <v>0.25</v>
      </c>
      <c r="F33" s="28">
        <f t="shared" si="7"/>
        <v>0.25</v>
      </c>
      <c r="G33" s="28">
        <f t="shared" si="7"/>
        <v>0.25</v>
      </c>
      <c r="H33" s="28">
        <f t="shared" si="7"/>
        <v>0.25</v>
      </c>
      <c r="I33" s="28">
        <f t="shared" si="7"/>
        <v>0.25</v>
      </c>
      <c r="J33" s="28">
        <f t="shared" si="7"/>
        <v>0.25</v>
      </c>
      <c r="K33" s="21">
        <f>J33</f>
        <v>0.25</v>
      </c>
      <c r="L33" s="21">
        <f t="shared" ref="L33:O33" si="8">K33</f>
        <v>0.25</v>
      </c>
      <c r="M33" s="21">
        <f t="shared" si="8"/>
        <v>0.25</v>
      </c>
      <c r="N33" s="21">
        <f t="shared" si="8"/>
        <v>0.25</v>
      </c>
      <c r="O33" s="21">
        <f t="shared" si="8"/>
        <v>0.25</v>
      </c>
    </row>
    <row r="35" spans="2:15" x14ac:dyDescent="0.2">
      <c r="B35" s="24" t="s">
        <v>113</v>
      </c>
      <c r="C35" s="85">
        <f>C32+C29</f>
        <v>281.54999999999984</v>
      </c>
      <c r="D35" s="85">
        <f t="shared" ref="D35:O35" si="9">D32+D29</f>
        <v>255.29999999999984</v>
      </c>
      <c r="E35" s="85">
        <f t="shared" si="9"/>
        <v>290.31749999999988</v>
      </c>
      <c r="F35" s="85">
        <f t="shared" si="9"/>
        <v>272.9097762562501</v>
      </c>
      <c r="G35" s="85">
        <f t="shared" si="9"/>
        <v>283.19610475340619</v>
      </c>
      <c r="H35" s="85">
        <f t="shared" si="9"/>
        <v>296.62350627188664</v>
      </c>
      <c r="I35" s="85">
        <f t="shared" si="9"/>
        <v>306.89680819642513</v>
      </c>
      <c r="J35" s="85">
        <f t="shared" si="9"/>
        <v>314.8858679653481</v>
      </c>
      <c r="K35" s="85">
        <f t="shared" si="9"/>
        <v>335.42725075839996</v>
      </c>
      <c r="L35" s="85">
        <f t="shared" si="9"/>
        <v>338.78152326598388</v>
      </c>
      <c r="M35" s="85">
        <f t="shared" si="9"/>
        <v>342.16933849864375</v>
      </c>
      <c r="N35" s="85">
        <f t="shared" si="9"/>
        <v>345.59103188363019</v>
      </c>
      <c r="O35" s="85">
        <f t="shared" si="9"/>
        <v>349.04694220246648</v>
      </c>
    </row>
    <row r="37" spans="2:15" x14ac:dyDescent="0.2">
      <c r="B37" t="s">
        <v>108</v>
      </c>
      <c r="C37" s="84">
        <f>Data!E58</f>
        <v>88.6</v>
      </c>
      <c r="D37" s="84">
        <f>Data!F58</f>
        <v>95</v>
      </c>
      <c r="E37" s="84">
        <f>Data!G58</f>
        <v>96.9</v>
      </c>
      <c r="F37" s="84">
        <f>Data!I58</f>
        <v>93.700000000000017</v>
      </c>
      <c r="G37" s="84">
        <f>Data!J58</f>
        <v>93.700000000000017</v>
      </c>
      <c r="H37" s="84">
        <f>Data!K58</f>
        <v>93.700000000000017</v>
      </c>
      <c r="I37" s="84">
        <f>Data!L58</f>
        <v>93.700000000000017</v>
      </c>
      <c r="J37" s="84">
        <f>Data!M58</f>
        <v>93.700000000000017</v>
      </c>
      <c r="K37" s="84">
        <f>K38*K24</f>
        <v>98.811956188114706</v>
      </c>
      <c r="L37" s="84">
        <f t="shared" ref="L37:O37" si="10">L38*L24</f>
        <v>99.800075749995841</v>
      </c>
      <c r="M37" s="84">
        <f t="shared" si="10"/>
        <v>100.79807650749579</v>
      </c>
      <c r="N37" s="84">
        <f t="shared" si="10"/>
        <v>101.80605727257075</v>
      </c>
      <c r="O37" s="84">
        <f t="shared" si="10"/>
        <v>102.82411784529646</v>
      </c>
    </row>
    <row r="38" spans="2:15" x14ac:dyDescent="0.2">
      <c r="B38" s="8" t="s">
        <v>117</v>
      </c>
      <c r="C38" s="19">
        <f>C37/C24</f>
        <v>3.0139129843181275E-2</v>
      </c>
      <c r="D38" s="19">
        <f t="shared" ref="D38:J38" si="11">D37/D24</f>
        <v>3.1203810149449826E-2</v>
      </c>
      <c r="E38" s="19">
        <f t="shared" si="11"/>
        <v>3.1259173712615614E-2</v>
      </c>
      <c r="F38" s="19">
        <f t="shared" si="11"/>
        <v>2.9947562202117455E-2</v>
      </c>
      <c r="G38" s="19">
        <f t="shared" si="11"/>
        <v>2.9504987391248728E-2</v>
      </c>
      <c r="H38" s="19">
        <f t="shared" si="11"/>
        <v>2.9140728287653066E-2</v>
      </c>
      <c r="I38" s="19">
        <f t="shared" si="11"/>
        <v>2.8852206225399073E-2</v>
      </c>
      <c r="J38" s="19">
        <f t="shared" si="11"/>
        <v>2.8566540817226805E-2</v>
      </c>
      <c r="K38" s="21">
        <f>AVERAGE(C38:J38)</f>
        <v>2.9826767328611482E-2</v>
      </c>
      <c r="L38" s="21">
        <f>K38</f>
        <v>2.9826767328611482E-2</v>
      </c>
      <c r="M38" s="21">
        <f t="shared" ref="M38:O38" si="12">L38</f>
        <v>2.9826767328611482E-2</v>
      </c>
      <c r="N38" s="21">
        <f t="shared" si="12"/>
        <v>2.9826767328611482E-2</v>
      </c>
      <c r="O38" s="21">
        <f t="shared" si="12"/>
        <v>2.9826767328611482E-2</v>
      </c>
    </row>
    <row r="40" spans="2:15" x14ac:dyDescent="0.2">
      <c r="B40" t="s">
        <v>110</v>
      </c>
      <c r="C40" s="84">
        <f>Data!E61</f>
        <v>-96.800000000000011</v>
      </c>
      <c r="D40" s="84">
        <f>Data!F61</f>
        <v>58</v>
      </c>
      <c r="E40" s="84">
        <f>Data!G61</f>
        <v>-11.600000000000009</v>
      </c>
      <c r="F40" s="84">
        <f>Data!I61</f>
        <v>-80.430316154957325</v>
      </c>
      <c r="G40" s="84">
        <f>Data!J61</f>
        <v>59.429188189487661</v>
      </c>
      <c r="H40" s="84">
        <f>Data!K61</f>
        <v>53.698401822349751</v>
      </c>
      <c r="I40" s="84">
        <f>Data!L61</f>
        <v>24.831917929088775</v>
      </c>
      <c r="J40" s="84">
        <f>Data!M61</f>
        <v>50.651092707159535</v>
      </c>
      <c r="K40" s="84">
        <f>K41*K24</f>
        <v>6.2844410901753394</v>
      </c>
      <c r="L40" s="84">
        <f t="shared" ref="L40:O40" si="13">L41*L24</f>
        <v>6.3472855010770921</v>
      </c>
      <c r="M40" s="84">
        <f t="shared" si="13"/>
        <v>6.4107583560878627</v>
      </c>
      <c r="N40" s="84">
        <f t="shared" si="13"/>
        <v>6.4748659396487414</v>
      </c>
      <c r="O40" s="84">
        <f t="shared" si="13"/>
        <v>6.5396145990452288</v>
      </c>
    </row>
    <row r="41" spans="2:15" x14ac:dyDescent="0.2">
      <c r="B41" s="8" t="s">
        <v>118</v>
      </c>
      <c r="C41" s="28">
        <f>C40/C24</f>
        <v>-3.2928530122121311E-2</v>
      </c>
      <c r="D41" s="28">
        <f t="shared" ref="D41:E41" si="14">D40/D24</f>
        <v>1.905074724913779E-2</v>
      </c>
      <c r="E41" s="28">
        <f t="shared" si="14"/>
        <v>-3.7420682669385072E-3</v>
      </c>
      <c r="F41" s="28">
        <f t="shared" ref="F41" si="15">F40/F24</f>
        <v>-2.5706423649803165E-2</v>
      </c>
      <c r="G41" s="28">
        <f t="shared" ref="G41" si="16">G40/G24</f>
        <v>1.8713526661718046E-2</v>
      </c>
      <c r="H41" s="28">
        <f t="shared" ref="H41" si="17">H40/H24</f>
        <v>1.6700219178082263E-2</v>
      </c>
      <c r="I41" s="28">
        <f t="shared" ref="I41" si="18">I40/I24</f>
        <v>7.6462712600027091E-3</v>
      </c>
      <c r="J41" s="28">
        <f t="shared" ref="J41" si="19">J40/J24</f>
        <v>1.5442118540621254E-2</v>
      </c>
      <c r="K41" s="21">
        <f>AVERAGE(C41:J41)</f>
        <v>1.896982606337385E-3</v>
      </c>
      <c r="L41" s="21">
        <f>K41</f>
        <v>1.896982606337385E-3</v>
      </c>
      <c r="M41" s="21">
        <f>L41</f>
        <v>1.896982606337385E-3</v>
      </c>
      <c r="N41" s="21">
        <f>M41</f>
        <v>1.896982606337385E-3</v>
      </c>
      <c r="O41" s="21">
        <f>N41</f>
        <v>1.896982606337385E-3</v>
      </c>
    </row>
    <row r="43" spans="2:15" x14ac:dyDescent="0.2">
      <c r="B43" t="s">
        <v>111</v>
      </c>
      <c r="C43" s="84">
        <f>Data!E68+Data!E69</f>
        <v>-79.099999999999994</v>
      </c>
      <c r="D43" s="84">
        <f>Data!F68+Data!F69</f>
        <v>-82.4</v>
      </c>
      <c r="E43" s="84">
        <f>Data!G68+Data!G69</f>
        <v>-80.3</v>
      </c>
      <c r="F43" s="84">
        <f>Data!I68+Data!I69</f>
        <v>-83.407949920283073</v>
      </c>
      <c r="G43" s="84">
        <f>Data!J68+Data!J69</f>
        <v>-84.446069169087323</v>
      </c>
      <c r="H43" s="84">
        <f>Data!K68+Data!K69</f>
        <v>-85.324145033700916</v>
      </c>
      <c r="I43" s="84">
        <f>Data!L68+Data!L69</f>
        <v>-86.035386484037929</v>
      </c>
      <c r="J43" s="84">
        <f>Data!M68+Data!M69</f>
        <v>-86.753740348878296</v>
      </c>
      <c r="K43" s="84">
        <f>K44*-K24</f>
        <v>-86.134405133021204</v>
      </c>
      <c r="L43" s="84">
        <f t="shared" ref="L43:O43" si="20">L44*-L24</f>
        <v>-86.995749184351411</v>
      </c>
      <c r="M43" s="84">
        <f t="shared" si="20"/>
        <v>-87.865706676194932</v>
      </c>
      <c r="N43" s="84">
        <f t="shared" si="20"/>
        <v>-88.744363742956878</v>
      </c>
      <c r="O43" s="84">
        <f t="shared" si="20"/>
        <v>-89.631807380386434</v>
      </c>
    </row>
    <row r="44" spans="2:15" x14ac:dyDescent="0.2">
      <c r="B44" t="s">
        <v>119</v>
      </c>
      <c r="C44" s="19">
        <f>-C43/C24</f>
        <v>2.6907507568799536E-2</v>
      </c>
      <c r="D44" s="19">
        <f t="shared" ref="D44:J44" si="21">-D43/D24</f>
        <v>2.7065199540154378E-2</v>
      </c>
      <c r="E44" s="19">
        <f t="shared" si="21"/>
        <v>2.5904144985789818E-2</v>
      </c>
      <c r="F44" s="19">
        <f t="shared" si="21"/>
        <v>2.6658108520691299E-2</v>
      </c>
      <c r="G44" s="19">
        <f t="shared" si="21"/>
        <v>2.6591037418083659E-2</v>
      </c>
      <c r="H44" s="19">
        <f t="shared" si="21"/>
        <v>2.6535834864497124E-2</v>
      </c>
      <c r="I44" s="19">
        <f t="shared" si="21"/>
        <v>2.6492110069577097E-2</v>
      </c>
      <c r="J44" s="19">
        <f t="shared" si="21"/>
        <v>2.6448818193418648E-2</v>
      </c>
      <c r="K44" s="21">
        <v>2.5999999999999999E-2</v>
      </c>
      <c r="L44" s="21">
        <v>2.5999999999999999E-2</v>
      </c>
      <c r="M44" s="21">
        <v>2.5999999999999999E-2</v>
      </c>
      <c r="N44" s="21">
        <v>2.5999999999999999E-2</v>
      </c>
      <c r="O44" s="21">
        <v>2.5999999999999999E-2</v>
      </c>
    </row>
    <row r="46" spans="2:15" x14ac:dyDescent="0.2">
      <c r="B46" s="36" t="s">
        <v>114</v>
      </c>
      <c r="C46" s="90">
        <f>C35+C37+C40+C43</f>
        <v>194.24999999999986</v>
      </c>
      <c r="D46" s="90">
        <f t="shared" ref="D46:O46" si="22">D35+D37+D40+D43</f>
        <v>325.89999999999986</v>
      </c>
      <c r="E46" s="90">
        <f t="shared" si="22"/>
        <v>295.31749999999982</v>
      </c>
      <c r="F46" s="90">
        <f t="shared" si="22"/>
        <v>202.77151018100975</v>
      </c>
      <c r="G46" s="90">
        <f t="shared" si="22"/>
        <v>351.87922377380659</v>
      </c>
      <c r="H46" s="90">
        <f t="shared" si="22"/>
        <v>358.69776306053552</v>
      </c>
      <c r="I46" s="90">
        <f t="shared" si="22"/>
        <v>339.39333964147602</v>
      </c>
      <c r="J46" s="90">
        <f>J35+J37+J40+J43</f>
        <v>372.48322032362938</v>
      </c>
      <c r="K46" s="90">
        <f t="shared" si="22"/>
        <v>354.38924290366879</v>
      </c>
      <c r="L46" s="90">
        <f t="shared" si="22"/>
        <v>357.93313533270532</v>
      </c>
      <c r="M46" s="90">
        <f t="shared" si="22"/>
        <v>361.5124666860325</v>
      </c>
      <c r="N46" s="90">
        <f t="shared" si="22"/>
        <v>365.12759135289281</v>
      </c>
      <c r="O46" s="90">
        <f t="shared" si="22"/>
        <v>368.7788672664218</v>
      </c>
    </row>
    <row r="48" spans="2:15" x14ac:dyDescent="0.2">
      <c r="B48" s="24" t="s">
        <v>92</v>
      </c>
      <c r="C48" s="85">
        <f>C29+C37</f>
        <v>463.99999999999977</v>
      </c>
      <c r="D48" s="85">
        <f t="shared" ref="D48:O48" si="23">D29+D37</f>
        <v>435.39999999999981</v>
      </c>
      <c r="E48" s="85">
        <f t="shared" si="23"/>
        <v>483.9899999999999</v>
      </c>
      <c r="F48" s="85">
        <f t="shared" si="23"/>
        <v>457.57970167500014</v>
      </c>
      <c r="G48" s="85">
        <f t="shared" si="23"/>
        <v>471.29480633787489</v>
      </c>
      <c r="H48" s="85">
        <f t="shared" si="23"/>
        <v>489.19800836251557</v>
      </c>
      <c r="I48" s="85">
        <f t="shared" si="23"/>
        <v>502.89574426190018</v>
      </c>
      <c r="J48" s="85">
        <f t="shared" si="23"/>
        <v>513.54782395379743</v>
      </c>
      <c r="K48" s="85">
        <f t="shared" si="23"/>
        <v>546.04829053264791</v>
      </c>
      <c r="L48" s="85">
        <f t="shared" si="23"/>
        <v>551.50877343797436</v>
      </c>
      <c r="M48" s="85">
        <f t="shared" si="23"/>
        <v>557.02386117235415</v>
      </c>
      <c r="N48" s="85">
        <f t="shared" si="23"/>
        <v>562.59409978407768</v>
      </c>
      <c r="O48" s="85">
        <f t="shared" si="23"/>
        <v>568.22004078191844</v>
      </c>
    </row>
    <row r="50" spans="2:15" x14ac:dyDescent="0.2">
      <c r="B50" t="s">
        <v>177</v>
      </c>
      <c r="G50">
        <v>1</v>
      </c>
      <c r="H50">
        <v>2</v>
      </c>
      <c r="I50">
        <v>3</v>
      </c>
      <c r="J50">
        <v>4</v>
      </c>
      <c r="K50">
        <v>5</v>
      </c>
      <c r="L50">
        <v>6</v>
      </c>
      <c r="M50">
        <v>7</v>
      </c>
      <c r="N50">
        <v>8</v>
      </c>
      <c r="O50">
        <v>9</v>
      </c>
    </row>
    <row r="51" spans="2:15" x14ac:dyDescent="0.2">
      <c r="B51" t="s">
        <v>178</v>
      </c>
      <c r="G51">
        <f t="shared" ref="F51:O51" si="24">1/(1+Cost_of_Capital)^G50</f>
        <v>0.92976205397831857</v>
      </c>
      <c r="H51">
        <f t="shared" si="24"/>
        <v>0.8644574770179817</v>
      </c>
      <c r="I51">
        <f t="shared" si="24"/>
        <v>0.80373975940915376</v>
      </c>
      <c r="J51">
        <f t="shared" si="24"/>
        <v>0.74728672957229436</v>
      </c>
      <c r="K51">
        <f t="shared" si="24"/>
        <v>0.69479884459787666</v>
      </c>
      <c r="L51">
        <f t="shared" si="24"/>
        <v>0.6459976008550844</v>
      </c>
      <c r="M51">
        <f t="shared" si="24"/>
        <v>0.60062405623608928</v>
      </c>
      <c r="N51">
        <f t="shared" si="24"/>
        <v>0.55843745619485541</v>
      </c>
      <c r="O51">
        <f t="shared" si="24"/>
        <v>0.5192139562901561</v>
      </c>
    </row>
    <row r="53" spans="2:15" x14ac:dyDescent="0.2">
      <c r="B53" t="s">
        <v>179</v>
      </c>
      <c r="F53" s="2"/>
      <c r="G53" s="84">
        <f t="shared" ref="F53:O53" si="25">G51*G46</f>
        <v>327.1639498482308</v>
      </c>
      <c r="H53" s="84">
        <f t="shared" si="25"/>
        <v>310.07896326730435</v>
      </c>
      <c r="I53" s="84">
        <f t="shared" si="25"/>
        <v>272.78392114850914</v>
      </c>
      <c r="J53" s="84">
        <f t="shared" si="25"/>
        <v>278.35176753620135</v>
      </c>
      <c r="K53" s="84">
        <f t="shared" si="25"/>
        <v>246.22923650738534</v>
      </c>
      <c r="L53" s="84">
        <f t="shared" si="25"/>
        <v>231.22394669146587</v>
      </c>
      <c r="M53" s="84">
        <f t="shared" si="25"/>
        <v>217.13308412087892</v>
      </c>
      <c r="N53" s="84">
        <f t="shared" si="25"/>
        <v>203.90092330166414</v>
      </c>
      <c r="O53" s="84">
        <f t="shared" si="25"/>
        <v>191.4751346696012</v>
      </c>
    </row>
    <row r="56" spans="2:15" x14ac:dyDescent="0.2">
      <c r="B56" s="12" t="s">
        <v>191</v>
      </c>
      <c r="C56" s="12"/>
      <c r="D56" s="12"/>
      <c r="E56" s="12"/>
      <c r="F56" s="12" t="s">
        <v>170</v>
      </c>
      <c r="G56" s="12"/>
      <c r="H56" s="12"/>
      <c r="I56" s="12"/>
    </row>
    <row r="57" spans="2:15" x14ac:dyDescent="0.2">
      <c r="B57" s="91">
        <f>I20</f>
        <v>20.70439649967788</v>
      </c>
      <c r="C57" s="76">
        <v>0.06</v>
      </c>
      <c r="D57" s="76">
        <f t="shared" ref="D57:I57" si="26">C57+0.5%</f>
        <v>6.5000000000000002E-2</v>
      </c>
      <c r="E57" s="76">
        <f t="shared" si="26"/>
        <v>7.0000000000000007E-2</v>
      </c>
      <c r="F57" s="76">
        <f t="shared" si="26"/>
        <v>7.5000000000000011E-2</v>
      </c>
      <c r="G57" s="76">
        <f t="shared" si="26"/>
        <v>8.0000000000000016E-2</v>
      </c>
      <c r="H57" s="76">
        <f t="shared" si="26"/>
        <v>8.500000000000002E-2</v>
      </c>
      <c r="I57" s="76">
        <f t="shared" si="26"/>
        <v>9.0000000000000024E-2</v>
      </c>
    </row>
    <row r="58" spans="2:15" x14ac:dyDescent="0.2">
      <c r="B58" s="75">
        <v>10</v>
      </c>
      <c r="C58" s="84">
        <f t="dataTable" ref="C58:I64" dt2D="1" dtr="1" r1="C9" r2="I5" ca="1"/>
        <v>26.378311867663964</v>
      </c>
      <c r="D58" s="84">
        <v>25.120077608545241</v>
      </c>
      <c r="E58" s="84">
        <v>23.914961392568788</v>
      </c>
      <c r="F58" s="84">
        <v>22.760406995897444</v>
      </c>
      <c r="G58" s="84">
        <v>21.653994039576983</v>
      </c>
      <c r="H58" s="84">
        <v>20.593430137495339</v>
      </c>
      <c r="I58" s="84">
        <v>19.576543533307035</v>
      </c>
      <c r="L58" s="74"/>
      <c r="M58" s="74"/>
    </row>
    <row r="59" spans="2:15" x14ac:dyDescent="0.2">
      <c r="B59" s="75">
        <v>9</v>
      </c>
      <c r="C59" s="84">
        <v>24.174323865791195</v>
      </c>
      <c r="D59" s="84">
        <v>23.007486034135319</v>
      </c>
      <c r="E59" s="84">
        <v>21.88957441095787</v>
      </c>
      <c r="F59" s="84">
        <v>20.818243285175999</v>
      </c>
      <c r="G59" s="84">
        <v>19.791271310189366</v>
      </c>
      <c r="H59" s="84">
        <v>18.806554327024038</v>
      </c>
      <c r="I59" s="84">
        <v>17.862098633871383</v>
      </c>
    </row>
    <row r="60" spans="2:15" x14ac:dyDescent="0.2">
      <c r="B60" s="75">
        <v>8</v>
      </c>
      <c r="C60" s="84">
        <v>21.970335863918411</v>
      </c>
      <c r="D60" s="84">
        <v>20.8948944597254</v>
      </c>
      <c r="E60" s="84">
        <v>19.864187429346952</v>
      </c>
      <c r="F60" s="84">
        <v>18.876079574454561</v>
      </c>
      <c r="G60" s="84">
        <v>17.928548580801753</v>
      </c>
      <c r="H60" s="84">
        <v>17.019678516552741</v>
      </c>
      <c r="I60" s="84">
        <v>16.147653734435732</v>
      </c>
    </row>
    <row r="61" spans="2:15" x14ac:dyDescent="0.2">
      <c r="B61" s="75">
        <v>7</v>
      </c>
      <c r="C61" s="84">
        <v>19.766347862045642</v>
      </c>
      <c r="D61" s="84">
        <v>18.782302885315485</v>
      </c>
      <c r="E61" s="84">
        <v>17.838800447736034</v>
      </c>
      <c r="F61" s="84">
        <v>16.933915863733123</v>
      </c>
      <c r="G61" s="84">
        <v>16.065825851414132</v>
      </c>
      <c r="H61" s="84">
        <v>15.232802706081436</v>
      </c>
      <c r="I61" s="84">
        <v>14.433208835000077</v>
      </c>
    </row>
    <row r="62" spans="2:15" x14ac:dyDescent="0.2">
      <c r="B62" s="75">
        <v>6</v>
      </c>
      <c r="C62" s="84">
        <v>17.562359860172858</v>
      </c>
      <c r="D62" s="84">
        <v>16.669711310905559</v>
      </c>
      <c r="E62" s="84">
        <v>15.813413466125111</v>
      </c>
      <c r="F62" s="84">
        <v>14.991752153011674</v>
      </c>
      <c r="G62" s="84">
        <v>14.203103122026516</v>
      </c>
      <c r="H62" s="84">
        <v>13.445926895610132</v>
      </c>
      <c r="I62" s="84">
        <v>12.718763935564425</v>
      </c>
    </row>
    <row r="63" spans="2:15" x14ac:dyDescent="0.2">
      <c r="B63" s="75">
        <v>5</v>
      </c>
      <c r="C63" s="84">
        <v>15.358371858300083</v>
      </c>
      <c r="D63" s="84">
        <v>14.557119736495636</v>
      </c>
      <c r="E63" s="84">
        <v>13.788026484514193</v>
      </c>
      <c r="F63" s="84">
        <v>13.049588442290236</v>
      </c>
      <c r="G63" s="84">
        <v>12.340380392638899</v>
      </c>
      <c r="H63" s="84">
        <v>11.659051085138827</v>
      </c>
      <c r="I63" s="84">
        <v>11.00431903612877</v>
      </c>
    </row>
    <row r="64" spans="2:15" x14ac:dyDescent="0.2">
      <c r="B64" s="75">
        <v>4</v>
      </c>
      <c r="C64" s="84">
        <v>13.154383856427307</v>
      </c>
      <c r="D64" s="84">
        <v>12.444528162085716</v>
      </c>
      <c r="E64" s="84">
        <v>11.762639502903275</v>
      </c>
      <c r="F64" s="84">
        <v>11.107424731568793</v>
      </c>
      <c r="G64" s="84">
        <v>10.477657663251286</v>
      </c>
      <c r="H64" s="84">
        <v>9.8721752746675246</v>
      </c>
      <c r="I64" s="84">
        <v>9.2898741366931166</v>
      </c>
    </row>
    <row r="66" spans="2:9" x14ac:dyDescent="0.2">
      <c r="B66" s="12" t="s">
        <v>95</v>
      </c>
      <c r="C66" s="12"/>
      <c r="D66" s="12"/>
      <c r="E66" s="12"/>
      <c r="F66" s="12" t="s">
        <v>170</v>
      </c>
      <c r="G66" s="12"/>
      <c r="H66" s="12"/>
      <c r="I66" s="12"/>
    </row>
    <row r="67" spans="2:9" x14ac:dyDescent="0.2">
      <c r="B67" s="91">
        <f>F20</f>
        <v>21.958826489702453</v>
      </c>
      <c r="C67" s="76">
        <v>0.06</v>
      </c>
      <c r="D67" s="76">
        <f t="shared" ref="D67:I67" si="27">C67+0.5%</f>
        <v>6.5000000000000002E-2</v>
      </c>
      <c r="E67" s="76">
        <f t="shared" si="27"/>
        <v>7.0000000000000007E-2</v>
      </c>
      <c r="F67" s="76">
        <f t="shared" si="27"/>
        <v>7.5000000000000011E-2</v>
      </c>
      <c r="G67" s="76">
        <f t="shared" si="27"/>
        <v>8.0000000000000016E-2</v>
      </c>
      <c r="H67" s="76">
        <f t="shared" si="27"/>
        <v>8.500000000000002E-2</v>
      </c>
      <c r="I67" s="76">
        <f t="shared" si="27"/>
        <v>9.0000000000000024E-2</v>
      </c>
    </row>
    <row r="68" spans="2:9" x14ac:dyDescent="0.2">
      <c r="B68" s="76">
        <v>0</v>
      </c>
      <c r="C68" s="84">
        <f t="dataTable" ref="C68:I74" dt2D="1" dtr="1" r1="C9" r2="F5"/>
        <v>29.60890188086918</v>
      </c>
      <c r="D68" s="84">
        <v>26.45889550133349</v>
      </c>
      <c r="E68" s="84">
        <v>23.754019709790374</v>
      </c>
      <c r="F68" s="84">
        <v>21.405623056403723</v>
      </c>
      <c r="G68" s="84">
        <v>19.347191651167059</v>
      </c>
      <c r="H68" s="84">
        <v>17.527839803134498</v>
      </c>
      <c r="I68" s="84">
        <v>15.907970331650127</v>
      </c>
    </row>
    <row r="69" spans="2:9" x14ac:dyDescent="0.2">
      <c r="B69" s="76">
        <f>B68+0.25%</f>
        <v>2.5000000000000001E-3</v>
      </c>
      <c r="C69" s="84">
        <v>30.707617969214102</v>
      </c>
      <c r="D69" s="84">
        <v>27.357484846808987</v>
      </c>
      <c r="E69" s="84">
        <v>24.498202233247071</v>
      </c>
      <c r="F69" s="84">
        <v>22.028617993221676</v>
      </c>
      <c r="G69" s="84">
        <v>19.873656970698232</v>
      </c>
      <c r="H69" s="84">
        <v>17.976420644660319</v>
      </c>
      <c r="I69" s="84">
        <v>16.292995354298693</v>
      </c>
    </row>
    <row r="70" spans="2:9" x14ac:dyDescent="0.2">
      <c r="B70" s="76">
        <f t="shared" ref="B70:B74" si="28">B69+0.25%</f>
        <v>5.0000000000000001E-3</v>
      </c>
      <c r="C70" s="84">
        <v>31.906217338317646</v>
      </c>
      <c r="D70" s="84">
        <v>28.330956637740776</v>
      </c>
      <c r="E70" s="84">
        <v>25.299629566200434</v>
      </c>
      <c r="F70" s="84">
        <v>22.696112568383771</v>
      </c>
      <c r="G70" s="84">
        <v>20.435219978198145</v>
      </c>
      <c r="H70" s="84">
        <v>18.453037788781508</v>
      </c>
      <c r="I70" s="84">
        <v>16.700668907691281</v>
      </c>
    </row>
    <row r="71" spans="2:9" x14ac:dyDescent="0.2">
      <c r="B71" s="76">
        <f t="shared" si="28"/>
        <v>7.4999999999999997E-3</v>
      </c>
      <c r="C71" s="84">
        <v>33.218969028288186</v>
      </c>
      <c r="D71" s="84">
        <v>29.389078149623156</v>
      </c>
      <c r="E71" s="84">
        <v>26.165171085790067</v>
      </c>
      <c r="F71" s="84">
        <v>23.413051186150469</v>
      </c>
      <c r="G71" s="84">
        <v>21.035511468973915</v>
      </c>
      <c r="H71" s="84">
        <v>18.960404426071804</v>
      </c>
      <c r="I71" s="84">
        <v>17.133049949168278</v>
      </c>
    </row>
    <row r="72" spans="2:9" x14ac:dyDescent="0.2">
      <c r="B72" s="76">
        <f t="shared" si="28"/>
        <v>0.01</v>
      </c>
      <c r="C72" s="84">
        <v>34.662995887255782</v>
      </c>
      <c r="D72" s="84">
        <v>30.54339252622211</v>
      </c>
      <c r="E72" s="84">
        <v>27.102841065345494</v>
      </c>
      <c r="F72" s="84">
        <v>24.18513892836075</v>
      </c>
      <c r="G72" s="84">
        <v>21.678680923376518</v>
      </c>
      <c r="H72" s="84">
        <v>19.501595505848126</v>
      </c>
      <c r="I72" s="84">
        <v>17.592454805737578</v>
      </c>
    </row>
    <row r="73" spans="2:9" x14ac:dyDescent="0.2">
      <c r="B73" s="76">
        <f t="shared" si="28"/>
        <v>1.2500000000000001E-2</v>
      </c>
      <c r="C73" s="84">
        <v>36.259025573483129</v>
      </c>
      <c r="D73" s="84">
        <v>31.807641605354302</v>
      </c>
      <c r="E73" s="84">
        <v>28.122047564862278</v>
      </c>
      <c r="F73" s="84">
        <v>25.018993689947866</v>
      </c>
      <c r="G73" s="84">
        <v>22.369492559586732</v>
      </c>
      <c r="H73" s="84">
        <v>20.080110108367631</v>
      </c>
      <c r="I73" s="84">
        <v>18.08149868531136</v>
      </c>
    </row>
    <row r="74" spans="2:9" x14ac:dyDescent="0.2">
      <c r="B74" s="76">
        <f t="shared" si="28"/>
        <v>1.5000000000000001E-2</v>
      </c>
      <c r="C74" s="84">
        <v>38.032391891513512</v>
      </c>
      <c r="D74" s="84">
        <v>33.198315592399716</v>
      </c>
      <c r="E74" s="84">
        <v>29.233909200698765</v>
      </c>
      <c r="F74" s="84">
        <v>25.922336348333893</v>
      </c>
      <c r="G74" s="84">
        <v>23.113443552428496</v>
      </c>
      <c r="H74" s="84">
        <v>20.699947182495674</v>
      </c>
      <c r="I74" s="84">
        <v>18.603145490190048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6</vt:i4>
      </vt:variant>
    </vt:vector>
  </HeadingPairs>
  <TitlesOfParts>
    <vt:vector size="9" baseType="lpstr">
      <vt:lpstr>Data</vt:lpstr>
      <vt:lpstr>WACC</vt:lpstr>
      <vt:lpstr>DFCF</vt:lpstr>
      <vt:lpstr>Cost_of_Capital</vt:lpstr>
      <vt:lpstr>Cost_of_Debt</vt:lpstr>
      <vt:lpstr>Cost_of_Equity</vt:lpstr>
      <vt:lpstr>Equity_Risk_Premium</vt:lpstr>
      <vt:lpstr>Marginal_Tax_Rate</vt:lpstr>
      <vt:lpstr>Risk_Free_Rate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Franco Gianotti</dc:creator>
  <cp:lastModifiedBy>Franco Gianotti</cp:lastModifiedBy>
  <cp:lastPrinted>2025-11-03T13:51:06Z</cp:lastPrinted>
  <dcterms:created xsi:type="dcterms:W3CDTF">2025-10-27T19:01:58Z</dcterms:created>
  <dcterms:modified xsi:type="dcterms:W3CDTF">2025-11-10T09:16:47Z</dcterms:modified>
</cp:coreProperties>
</file>