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24"/>
  <workbookPr/>
  <mc:AlternateContent xmlns:mc="http://schemas.openxmlformats.org/markup-compatibility/2006">
    <mc:Choice Requires="x15">
      <x15ac:absPath xmlns:x15ac="http://schemas.microsoft.com/office/spreadsheetml/2010/11/ac" url="/Users/francogianotti/Dropbox/Inversiones/Analisis de empresas/Situaciones Especiales/Spin-off/Comcast - Versant/"/>
    </mc:Choice>
  </mc:AlternateContent>
  <xr:revisionPtr revIDLastSave="0" documentId="13_ncr:1_{A3157810-C407-B44C-B3DE-0E6752717663}" xr6:coauthVersionLast="47" xr6:coauthVersionMax="47" xr10:uidLastSave="{00000000-0000-0000-0000-000000000000}"/>
  <bookViews>
    <workbookView xWindow="80" yWindow="920" windowWidth="34240" windowHeight="20020" activeTab="8" xr2:uid="{0195AF00-AB6A-4E4F-B031-F680099791BA}"/>
  </bookViews>
  <sheets>
    <sheet name="Comcast" sheetId="2" r:id="rId1"/>
    <sheet name="Comcast - Adjustment" sheetId="5" r:id="rId2"/>
    <sheet name="Comcast - DFCF" sheetId="6" r:id="rId3"/>
    <sheet name="Comcast - WACC" sheetId="7" r:id="rId4"/>
    <sheet name="Comcast - SOTP" sheetId="8" r:id="rId5"/>
    <sheet name="Versant" sheetId="1" r:id="rId6"/>
    <sheet name="Versant - Adjustment" sheetId="4" r:id="rId7"/>
    <sheet name="Versant - WACC" sheetId="11" r:id="rId8"/>
    <sheet name="Venant - DFCF" sheetId="10" r:id="rId9"/>
  </sheets>
  <definedNames>
    <definedName name="Cost_of_Capital" localSheetId="8">'Venant - DFCF'!$C$4</definedName>
    <definedName name="Cost_of_Capital">'Comcast - DFCF'!$C$4</definedName>
    <definedName name="Equity_Risk_Premium">'Comcast - WACC'!$F$4</definedName>
    <definedName name="Parent_Cost_of_Capital" localSheetId="8">'Venant - DFCF'!$C$4</definedName>
    <definedName name="Parent_Cost_of_Capital">'Comcast - DFCF'!$C$4</definedName>
    <definedName name="Parent_Implied_Discount">Comcast!$F$7</definedName>
    <definedName name="Parent_Marginal_Rate">Comcast!$F$5</definedName>
    <definedName name="Parent_Share_Price">Comcast!$C$6</definedName>
    <definedName name="Parent_Shares">Comcast!$C$5</definedName>
    <definedName name="Parent_Weighted_Interest">Comcast!$F$4</definedName>
    <definedName name="ParentCo_Enterprise_Value">Comcast!$F$6</definedName>
    <definedName name="ParentCo_Market_Cap">Comcast!$C$7</definedName>
    <definedName name="Risk_Free_Rate">'Comcast - WACC'!$F$5</definedName>
    <definedName name="Special_Cash_to_ParentCo">'Versant - Adjustment'!$C$10</definedName>
    <definedName name="SubCo_Marginal_Tax_Rate">'Versant - Adjustment'!$C$14</definedName>
    <definedName name="SubCo_Market_Cap">'Versant - Adjustment'!$C$7</definedName>
    <definedName name="Transaction_Cost">'Versant - Adjustment'!$C$12</definedName>
    <definedName name="Units">Comcast!$C$4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0" l="1"/>
  <c r="C20" i="11"/>
  <c r="C18" i="11"/>
  <c r="C17" i="11"/>
  <c r="C15" i="11"/>
  <c r="C14" i="11"/>
  <c r="C20" i="7"/>
  <c r="C12" i="11"/>
  <c r="G12" i="11"/>
  <c r="F12" i="11"/>
  <c r="E12" i="11"/>
  <c r="D12" i="11"/>
  <c r="D9" i="11"/>
  <c r="F14" i="10"/>
  <c r="F15" i="10"/>
  <c r="C6" i="10"/>
  <c r="F37" i="10"/>
  <c r="E37" i="10"/>
  <c r="D37" i="10"/>
  <c r="C37" i="10"/>
  <c r="F34" i="10"/>
  <c r="E34" i="10"/>
  <c r="D34" i="10"/>
  <c r="C34" i="10"/>
  <c r="F31" i="10"/>
  <c r="E31" i="10"/>
  <c r="D31" i="10"/>
  <c r="C31" i="10"/>
  <c r="F28" i="10"/>
  <c r="E28" i="10"/>
  <c r="D28" i="10"/>
  <c r="C28" i="10"/>
  <c r="F25" i="10"/>
  <c r="E25" i="10"/>
  <c r="D25" i="10"/>
  <c r="C25" i="10"/>
  <c r="B63" i="10"/>
  <c r="B64" i="10" s="1"/>
  <c r="B65" i="10" s="1"/>
  <c r="B66" i="10" s="1"/>
  <c r="B67" i="10" s="1"/>
  <c r="F61" i="10"/>
  <c r="G61" i="10" s="1"/>
  <c r="H61" i="10" s="1"/>
  <c r="B53" i="10"/>
  <c r="B54" i="10" s="1"/>
  <c r="B55" i="10" s="1"/>
  <c r="B56" i="10" s="1"/>
  <c r="B57" i="10" s="1"/>
  <c r="D51" i="10"/>
  <c r="E51" i="10" s="1"/>
  <c r="F51" i="10" s="1"/>
  <c r="G51" i="10" s="1"/>
  <c r="H51" i="10" s="1"/>
  <c r="E40" i="10"/>
  <c r="E38" i="10"/>
  <c r="F38" i="10"/>
  <c r="D38" i="10"/>
  <c r="F35" i="10"/>
  <c r="E35" i="10"/>
  <c r="D35" i="10"/>
  <c r="C35" i="10"/>
  <c r="C32" i="10"/>
  <c r="F32" i="10"/>
  <c r="E32" i="10"/>
  <c r="D32" i="10"/>
  <c r="D29" i="10"/>
  <c r="F47" i="10"/>
  <c r="E47" i="10"/>
  <c r="D47" i="10"/>
  <c r="C47" i="10"/>
  <c r="F26" i="10"/>
  <c r="E26" i="10"/>
  <c r="D26" i="10"/>
  <c r="C24" i="10"/>
  <c r="D24" i="10" s="1"/>
  <c r="E24" i="10" s="1"/>
  <c r="F24" i="10" s="1"/>
  <c r="G24" i="10" s="1"/>
  <c r="H24" i="10" s="1"/>
  <c r="I24" i="10" s="1"/>
  <c r="J24" i="10" s="1"/>
  <c r="K24" i="10" s="1"/>
  <c r="L24" i="10" s="1"/>
  <c r="M24" i="10" s="1"/>
  <c r="N24" i="10" s="1"/>
  <c r="O24" i="10" s="1"/>
  <c r="P24" i="10" s="1"/>
  <c r="I14" i="10"/>
  <c r="E8" i="8"/>
  <c r="G61" i="6"/>
  <c r="H61" i="6" s="1"/>
  <c r="F61" i="6"/>
  <c r="B63" i="6"/>
  <c r="B64" i="6" s="1"/>
  <c r="B65" i="6" s="1"/>
  <c r="B66" i="6" s="1"/>
  <c r="B67" i="6" s="1"/>
  <c r="B54" i="6"/>
  <c r="B55" i="6" s="1"/>
  <c r="B56" i="6" s="1"/>
  <c r="B57" i="6" s="1"/>
  <c r="B53" i="6"/>
  <c r="C23" i="7"/>
  <c r="C24" i="7" s="1"/>
  <c r="D18" i="7"/>
  <c r="H13" i="7"/>
  <c r="D14" i="7"/>
  <c r="E51" i="6"/>
  <c r="F51" i="6" s="1"/>
  <c r="G51" i="6" s="1"/>
  <c r="H51" i="6" s="1"/>
  <c r="D51" i="6"/>
  <c r="F34" i="6"/>
  <c r="E34" i="6"/>
  <c r="D34" i="6"/>
  <c r="C34" i="6"/>
  <c r="F14" i="6"/>
  <c r="I14" i="6"/>
  <c r="L29" i="10" l="1"/>
  <c r="C40" i="10"/>
  <c r="D40" i="10"/>
  <c r="E29" i="10"/>
  <c r="F40" i="10"/>
  <c r="F29" i="10"/>
  <c r="C29" i="10"/>
  <c r="C18" i="7"/>
  <c r="M29" i="10" l="1"/>
  <c r="L26" i="6"/>
  <c r="M26" i="6" s="1"/>
  <c r="N26" i="6" s="1"/>
  <c r="O26" i="6" s="1"/>
  <c r="P26" i="6" s="1"/>
  <c r="F37" i="6"/>
  <c r="E37" i="6"/>
  <c r="D37" i="6"/>
  <c r="C37" i="6"/>
  <c r="C35" i="6"/>
  <c r="J31" i="6"/>
  <c r="I31" i="6"/>
  <c r="H31" i="6"/>
  <c r="G31" i="6"/>
  <c r="F31" i="6"/>
  <c r="E31" i="6"/>
  <c r="D31" i="6"/>
  <c r="C31" i="6"/>
  <c r="F28" i="6"/>
  <c r="E28" i="6"/>
  <c r="D28" i="6"/>
  <c r="C28" i="6"/>
  <c r="F25" i="6"/>
  <c r="E25" i="6"/>
  <c r="D25" i="6"/>
  <c r="C25" i="6"/>
  <c r="C24" i="6"/>
  <c r="D24" i="6" s="1"/>
  <c r="E24" i="6" s="1"/>
  <c r="F24" i="6" s="1"/>
  <c r="G24" i="6" s="1"/>
  <c r="H24" i="6" s="1"/>
  <c r="I24" i="6" s="1"/>
  <c r="J24" i="6" s="1"/>
  <c r="K24" i="6" s="1"/>
  <c r="L24" i="6" s="1"/>
  <c r="M24" i="6" s="1"/>
  <c r="N24" i="6" s="1"/>
  <c r="O24" i="6" s="1"/>
  <c r="P24" i="6" s="1"/>
  <c r="G101" i="1"/>
  <c r="H101" i="1" s="1"/>
  <c r="I101" i="1" s="1"/>
  <c r="J101" i="1" s="1"/>
  <c r="F101" i="1"/>
  <c r="J120" i="2"/>
  <c r="I120" i="2"/>
  <c r="H120" i="2"/>
  <c r="G120" i="2"/>
  <c r="F120" i="2"/>
  <c r="E120" i="2"/>
  <c r="D120" i="2"/>
  <c r="C136" i="5"/>
  <c r="F136" i="5" s="1"/>
  <c r="G136" i="5" s="1"/>
  <c r="H136" i="5" s="1"/>
  <c r="I136" i="5" s="1"/>
  <c r="J136" i="5" s="1"/>
  <c r="C21" i="4"/>
  <c r="G116" i="2"/>
  <c r="H116" i="2" s="1"/>
  <c r="I116" i="2" s="1"/>
  <c r="J116" i="2" s="1"/>
  <c r="C131" i="5"/>
  <c r="J125" i="5"/>
  <c r="I125" i="5"/>
  <c r="H125" i="5"/>
  <c r="G125" i="5"/>
  <c r="J117" i="5"/>
  <c r="I117" i="5"/>
  <c r="H117" i="5"/>
  <c r="G117" i="5"/>
  <c r="J115" i="5"/>
  <c r="I115" i="5"/>
  <c r="H115" i="5"/>
  <c r="G115" i="5"/>
  <c r="C115" i="5"/>
  <c r="J98" i="5"/>
  <c r="I98" i="5"/>
  <c r="H98" i="5"/>
  <c r="G98" i="5"/>
  <c r="J101" i="5"/>
  <c r="I101" i="5"/>
  <c r="H101" i="5"/>
  <c r="G101" i="5"/>
  <c r="C90" i="5"/>
  <c r="F90" i="5" s="1"/>
  <c r="G90" i="5" s="1"/>
  <c r="H90" i="5" s="1"/>
  <c r="I90" i="5" s="1"/>
  <c r="J90" i="5" s="1"/>
  <c r="C10" i="5"/>
  <c r="D84" i="5"/>
  <c r="D69" i="5"/>
  <c r="E61" i="5"/>
  <c r="E58" i="5"/>
  <c r="E60" i="5"/>
  <c r="E56" i="5"/>
  <c r="E55" i="5"/>
  <c r="C6" i="5"/>
  <c r="D49" i="5" s="1"/>
  <c r="C9" i="5" s="1"/>
  <c r="E51" i="5"/>
  <c r="E50" i="5"/>
  <c r="C71" i="5"/>
  <c r="F71" i="5" s="1"/>
  <c r="G71" i="5" s="1"/>
  <c r="H71" i="5" s="1"/>
  <c r="I71" i="5" s="1"/>
  <c r="J71" i="5" s="1"/>
  <c r="C46" i="5"/>
  <c r="F46" i="5" s="1"/>
  <c r="G46" i="5" s="1"/>
  <c r="H46" i="5" s="1"/>
  <c r="I46" i="5" s="1"/>
  <c r="J46" i="5" s="1"/>
  <c r="J41" i="5"/>
  <c r="I41" i="5"/>
  <c r="H41" i="5"/>
  <c r="G41" i="5"/>
  <c r="J36" i="5"/>
  <c r="I36" i="5"/>
  <c r="H36" i="5"/>
  <c r="G36" i="5"/>
  <c r="C15" i="5"/>
  <c r="F15" i="5" s="1"/>
  <c r="G15" i="5" s="1"/>
  <c r="H15" i="5" s="1"/>
  <c r="I15" i="5" s="1"/>
  <c r="J15" i="5" s="1"/>
  <c r="N29" i="10" l="1"/>
  <c r="C47" i="6"/>
  <c r="D47" i="6"/>
  <c r="E47" i="6"/>
  <c r="F47" i="6"/>
  <c r="D35" i="6"/>
  <c r="F26" i="6"/>
  <c r="F35" i="6"/>
  <c r="F38" i="6"/>
  <c r="E35" i="6"/>
  <c r="E38" i="6"/>
  <c r="D38" i="6"/>
  <c r="F29" i="6"/>
  <c r="F32" i="6"/>
  <c r="E32" i="6"/>
  <c r="D26" i="6"/>
  <c r="D32" i="6"/>
  <c r="E26" i="6"/>
  <c r="C32" i="6"/>
  <c r="D29" i="6"/>
  <c r="F40" i="6"/>
  <c r="E29" i="6"/>
  <c r="C29" i="6"/>
  <c r="C40" i="6"/>
  <c r="D40" i="6"/>
  <c r="E40" i="6"/>
  <c r="C11" i="5"/>
  <c r="E83" i="5"/>
  <c r="O29" i="10" l="1"/>
  <c r="P29" i="10" l="1"/>
  <c r="J59" i="2" l="1"/>
  <c r="J121" i="5" s="1"/>
  <c r="I59" i="2"/>
  <c r="I121" i="5" s="1"/>
  <c r="H59" i="2"/>
  <c r="H121" i="5" s="1"/>
  <c r="G59" i="2"/>
  <c r="G121" i="5" s="1"/>
  <c r="F59" i="2"/>
  <c r="C121" i="5" s="1"/>
  <c r="E237" i="2"/>
  <c r="D237" i="2"/>
  <c r="C237" i="2"/>
  <c r="G236" i="2"/>
  <c r="H236" i="2" s="1"/>
  <c r="I236" i="2" s="1"/>
  <c r="J236" i="2" s="1"/>
  <c r="E232" i="2"/>
  <c r="D232" i="2"/>
  <c r="C232" i="2"/>
  <c r="E229" i="2"/>
  <c r="D229" i="2"/>
  <c r="E226" i="2"/>
  <c r="E227" i="2" s="1"/>
  <c r="F227" i="2" s="1"/>
  <c r="D226" i="2"/>
  <c r="D227" i="2" s="1"/>
  <c r="C226" i="2"/>
  <c r="C227" i="2" s="1"/>
  <c r="E223" i="2"/>
  <c r="D223" i="2"/>
  <c r="C223" i="2"/>
  <c r="E218" i="2"/>
  <c r="E219" i="2" s="1"/>
  <c r="F219" i="2" s="1"/>
  <c r="D218" i="2"/>
  <c r="D219" i="2" s="1"/>
  <c r="C218" i="2"/>
  <c r="C219" i="2" s="1"/>
  <c r="E215" i="2"/>
  <c r="E216" i="2" s="1"/>
  <c r="D215" i="2"/>
  <c r="D216" i="2" s="1"/>
  <c r="C215" i="2"/>
  <c r="C216" i="2" s="1"/>
  <c r="F216" i="2" s="1"/>
  <c r="T101" i="2"/>
  <c r="C101" i="2"/>
  <c r="C127" i="2" s="1"/>
  <c r="D101" i="2"/>
  <c r="E101" i="2"/>
  <c r="E212" i="2"/>
  <c r="E213" i="2" s="1"/>
  <c r="F213" i="2" s="1"/>
  <c r="D212" i="2"/>
  <c r="D213" i="2" s="1"/>
  <c r="C212" i="2"/>
  <c r="C213" i="2" s="1"/>
  <c r="E210" i="2"/>
  <c r="D210" i="2"/>
  <c r="E209" i="2"/>
  <c r="D209" i="2"/>
  <c r="C209" i="2"/>
  <c r="C210" i="2"/>
  <c r="G207" i="2"/>
  <c r="H207" i="2" s="1"/>
  <c r="I207" i="2" s="1"/>
  <c r="J207" i="2" s="1"/>
  <c r="F104" i="2"/>
  <c r="F68" i="2"/>
  <c r="E171" i="2"/>
  <c r="D171" i="2"/>
  <c r="C171" i="2"/>
  <c r="G97" i="2"/>
  <c r="H97" i="2" s="1"/>
  <c r="I97" i="2" s="1"/>
  <c r="J97" i="2" s="1"/>
  <c r="F85" i="2"/>
  <c r="C59" i="5" s="1"/>
  <c r="F59" i="5" s="1"/>
  <c r="G59" i="5" s="1"/>
  <c r="H59" i="5" s="1"/>
  <c r="I59" i="5" s="1"/>
  <c r="J59" i="5" s="1"/>
  <c r="E204" i="2"/>
  <c r="D204" i="2"/>
  <c r="C204" i="2"/>
  <c r="E202" i="2"/>
  <c r="D202" i="2"/>
  <c r="C202" i="2"/>
  <c r="E199" i="2"/>
  <c r="D199" i="2"/>
  <c r="C199" i="2"/>
  <c r="E196" i="2"/>
  <c r="E197" i="2" s="1"/>
  <c r="D196" i="2"/>
  <c r="D197" i="2" s="1"/>
  <c r="C196" i="2"/>
  <c r="C197" i="2" s="1"/>
  <c r="E194" i="2"/>
  <c r="D194" i="2"/>
  <c r="C194" i="2"/>
  <c r="E192" i="2"/>
  <c r="D192" i="2"/>
  <c r="C192" i="2"/>
  <c r="E190" i="2"/>
  <c r="D190" i="2"/>
  <c r="C190" i="2"/>
  <c r="E187" i="2"/>
  <c r="E188" i="2" s="1"/>
  <c r="D187" i="2"/>
  <c r="D188" i="2" s="1"/>
  <c r="C187" i="2"/>
  <c r="C188" i="2" s="1"/>
  <c r="E51" i="2"/>
  <c r="E184" i="2" s="1"/>
  <c r="E185" i="2" s="1"/>
  <c r="D51" i="2"/>
  <c r="D184" i="2" s="1"/>
  <c r="D185" i="2" s="1"/>
  <c r="C51" i="2"/>
  <c r="C184" i="2" s="1"/>
  <c r="C185" i="2" s="1"/>
  <c r="E181" i="2"/>
  <c r="E182" i="2" s="1"/>
  <c r="D181" i="2"/>
  <c r="D182" i="2" s="1"/>
  <c r="C181" i="2"/>
  <c r="C182" i="2" s="1"/>
  <c r="E169" i="2"/>
  <c r="D169" i="2"/>
  <c r="C169" i="2"/>
  <c r="E166" i="2"/>
  <c r="D166" i="2"/>
  <c r="C166" i="2"/>
  <c r="E179" i="2"/>
  <c r="D179" i="2"/>
  <c r="C179" i="2"/>
  <c r="E177" i="2"/>
  <c r="D177" i="2"/>
  <c r="C177" i="2"/>
  <c r="E175" i="2"/>
  <c r="D175" i="2"/>
  <c r="C175" i="2"/>
  <c r="G174" i="2"/>
  <c r="H174" i="2" s="1"/>
  <c r="I174" i="2" s="1"/>
  <c r="J174" i="2" s="1"/>
  <c r="J20" i="2"/>
  <c r="I20" i="2"/>
  <c r="H20" i="2"/>
  <c r="G20" i="2"/>
  <c r="F20" i="2"/>
  <c r="E164" i="2"/>
  <c r="D164" i="2"/>
  <c r="C164" i="2"/>
  <c r="E161" i="2"/>
  <c r="D161" i="2"/>
  <c r="C161" i="2"/>
  <c r="E158" i="2"/>
  <c r="D158" i="2"/>
  <c r="C158" i="2"/>
  <c r="E155" i="2"/>
  <c r="D155" i="2"/>
  <c r="C155" i="2"/>
  <c r="E152" i="2"/>
  <c r="E153" i="2" s="1"/>
  <c r="D152" i="2"/>
  <c r="D153" i="2" s="1"/>
  <c r="C152" i="2"/>
  <c r="C153" i="2" s="1"/>
  <c r="E146" i="2"/>
  <c r="F146" i="2" s="1"/>
  <c r="D146" i="2"/>
  <c r="C146" i="2"/>
  <c r="G145" i="2"/>
  <c r="H145" i="2" s="1"/>
  <c r="I145" i="2" s="1"/>
  <c r="J145" i="2" s="1"/>
  <c r="C127" i="4"/>
  <c r="J84" i="4"/>
  <c r="I84" i="4"/>
  <c r="H84" i="4"/>
  <c r="G84" i="4"/>
  <c r="J60" i="4"/>
  <c r="I60" i="4"/>
  <c r="H60" i="4"/>
  <c r="G60" i="4"/>
  <c r="J95" i="4"/>
  <c r="I95" i="4"/>
  <c r="H95" i="4"/>
  <c r="G95" i="4"/>
  <c r="J94" i="4"/>
  <c r="I94" i="4"/>
  <c r="H94" i="4"/>
  <c r="G94" i="4"/>
  <c r="J113" i="4"/>
  <c r="I113" i="4"/>
  <c r="H113" i="4"/>
  <c r="G113" i="4"/>
  <c r="J107" i="4"/>
  <c r="I107" i="4"/>
  <c r="H107" i="4"/>
  <c r="G107" i="4"/>
  <c r="J106" i="4"/>
  <c r="J127" i="4" s="1"/>
  <c r="I106" i="4"/>
  <c r="I127" i="4" s="1"/>
  <c r="H106" i="4"/>
  <c r="H127" i="4" s="1"/>
  <c r="G106" i="4"/>
  <c r="G127" i="4" s="1"/>
  <c r="C117" i="4"/>
  <c r="C113" i="4"/>
  <c r="C107" i="4"/>
  <c r="C95" i="4"/>
  <c r="C94" i="4"/>
  <c r="D83" i="4"/>
  <c r="C84" i="4"/>
  <c r="F84" i="4" s="1"/>
  <c r="C20" i="4" s="1"/>
  <c r="C60" i="4"/>
  <c r="F60" i="4" s="1"/>
  <c r="J15" i="4"/>
  <c r="J14" i="4"/>
  <c r="D53" i="4" s="1"/>
  <c r="J13" i="4"/>
  <c r="J45" i="4"/>
  <c r="I45" i="4"/>
  <c r="H45" i="4"/>
  <c r="G45" i="4"/>
  <c r="C45" i="4"/>
  <c r="J40" i="4"/>
  <c r="I40" i="4"/>
  <c r="H40" i="4"/>
  <c r="G40" i="4"/>
  <c r="G34" i="4"/>
  <c r="C27" i="4"/>
  <c r="F27" i="4" s="1"/>
  <c r="G27" i="4" s="1"/>
  <c r="H27" i="4" s="1"/>
  <c r="I27" i="4" s="1"/>
  <c r="J27" i="4" s="1"/>
  <c r="J50" i="4" s="1"/>
  <c r="J90" i="4" s="1"/>
  <c r="J122" i="4" s="1"/>
  <c r="C5" i="2"/>
  <c r="C40" i="4"/>
  <c r="C5" i="4"/>
  <c r="E90" i="1"/>
  <c r="D90" i="1"/>
  <c r="G62" i="1"/>
  <c r="H62" i="1" s="1"/>
  <c r="I62" i="1" s="1"/>
  <c r="J62" i="1" s="1"/>
  <c r="F62" i="1"/>
  <c r="F48" i="1"/>
  <c r="E160" i="1"/>
  <c r="D160" i="1"/>
  <c r="E157" i="1"/>
  <c r="E158" i="1" s="1"/>
  <c r="D157" i="1"/>
  <c r="D158" i="1" s="1"/>
  <c r="G119" i="1"/>
  <c r="H119" i="1" s="1"/>
  <c r="I119" i="1" s="1"/>
  <c r="J119" i="1" s="1"/>
  <c r="D151" i="1"/>
  <c r="D152" i="1" s="1"/>
  <c r="E151" i="1"/>
  <c r="E152" i="1" s="1"/>
  <c r="F152" i="1" s="1"/>
  <c r="E148" i="1"/>
  <c r="E149" i="1" s="1"/>
  <c r="F149" i="1" s="1"/>
  <c r="D148" i="1"/>
  <c r="D149" i="1" s="1"/>
  <c r="E145" i="1"/>
  <c r="D145" i="1"/>
  <c r="T63" i="1"/>
  <c r="E63" i="1"/>
  <c r="D63" i="1"/>
  <c r="E142" i="1"/>
  <c r="E143" i="1" s="1"/>
  <c r="F143" i="1" s="1"/>
  <c r="D142" i="1"/>
  <c r="D143" i="1" s="1"/>
  <c r="E139" i="1"/>
  <c r="E140" i="1" s="1"/>
  <c r="F140" i="1" s="1"/>
  <c r="D139" i="1"/>
  <c r="D140" i="1" s="1"/>
  <c r="E136" i="1"/>
  <c r="E137" i="1" s="1"/>
  <c r="F137" i="1" s="1"/>
  <c r="D136" i="1"/>
  <c r="D137" i="1" s="1"/>
  <c r="E133" i="1"/>
  <c r="E134" i="1" s="1"/>
  <c r="F134" i="1" s="1"/>
  <c r="D133" i="1"/>
  <c r="D134" i="1" s="1"/>
  <c r="G132" i="1"/>
  <c r="H132" i="1" s="1"/>
  <c r="I132" i="1" s="1"/>
  <c r="J132" i="1" s="1"/>
  <c r="F129" i="1"/>
  <c r="F44" i="1" s="1"/>
  <c r="E129" i="1"/>
  <c r="D129" i="1"/>
  <c r="C129" i="1"/>
  <c r="E126" i="1"/>
  <c r="E127" i="1" s="1"/>
  <c r="D126" i="1"/>
  <c r="D127" i="1" s="1"/>
  <c r="C126" i="1"/>
  <c r="C127" i="1" s="1"/>
  <c r="C7" i="2" l="1"/>
  <c r="C6" i="6"/>
  <c r="E130" i="2"/>
  <c r="E127" i="2"/>
  <c r="D130" i="2"/>
  <c r="D127" i="2"/>
  <c r="E53" i="4"/>
  <c r="E80" i="4"/>
  <c r="F80" i="4" s="1"/>
  <c r="C19" i="4" s="1"/>
  <c r="D118" i="2"/>
  <c r="E118" i="2"/>
  <c r="F202" i="2"/>
  <c r="G202" i="2" s="1"/>
  <c r="C118" i="2"/>
  <c r="F171" i="2"/>
  <c r="F25" i="2" s="1"/>
  <c r="C35" i="5" s="1"/>
  <c r="F237" i="2"/>
  <c r="F24" i="2" s="1"/>
  <c r="C34" i="5" s="1"/>
  <c r="F101" i="2"/>
  <c r="F210" i="2"/>
  <c r="G210" i="2" s="1"/>
  <c r="F192" i="2"/>
  <c r="F55" i="2" s="1"/>
  <c r="G216" i="2"/>
  <c r="G219" i="2"/>
  <c r="G227" i="2"/>
  <c r="J38" i="2"/>
  <c r="J96" i="5" s="1"/>
  <c r="J28" i="5"/>
  <c r="I38" i="2"/>
  <c r="I96" i="5" s="1"/>
  <c r="I28" i="5"/>
  <c r="F38" i="2"/>
  <c r="C96" i="5" s="1"/>
  <c r="C28" i="5"/>
  <c r="H38" i="2"/>
  <c r="H96" i="5" s="1"/>
  <c r="H28" i="5"/>
  <c r="G38" i="2"/>
  <c r="G96" i="5" s="1"/>
  <c r="G28" i="5"/>
  <c r="G104" i="2"/>
  <c r="H104" i="2" s="1"/>
  <c r="I104" i="2" s="1"/>
  <c r="C78" i="5"/>
  <c r="F78" i="5" s="1"/>
  <c r="G78" i="5" s="1"/>
  <c r="H78" i="5" s="1"/>
  <c r="I78" i="5" s="1"/>
  <c r="J78" i="5" s="1"/>
  <c r="G85" i="2"/>
  <c r="H85" i="2" s="1"/>
  <c r="I85" i="2" s="1"/>
  <c r="J85" i="2" s="1"/>
  <c r="G213" i="2"/>
  <c r="F179" i="2"/>
  <c r="G179" i="2" s="1"/>
  <c r="F190" i="2"/>
  <c r="F53" i="2" s="1"/>
  <c r="F194" i="2"/>
  <c r="G194" i="2" s="1"/>
  <c r="F204" i="2"/>
  <c r="F65" i="2" s="1"/>
  <c r="C128" i="5" s="1"/>
  <c r="F188" i="2"/>
  <c r="G188" i="2" s="1"/>
  <c r="F169" i="2"/>
  <c r="G169" i="2" s="1"/>
  <c r="F177" i="2"/>
  <c r="F40" i="2" s="1"/>
  <c r="C99" i="5" s="1"/>
  <c r="E162" i="2"/>
  <c r="F162" i="2" s="1"/>
  <c r="F161" i="2" s="1"/>
  <c r="F19" i="2" s="1"/>
  <c r="F185" i="2"/>
  <c r="G185" i="2" s="1"/>
  <c r="F182" i="2"/>
  <c r="G182" i="2" s="1"/>
  <c r="D159" i="2"/>
  <c r="E159" i="2"/>
  <c r="F175" i="2"/>
  <c r="F39" i="2" s="1"/>
  <c r="C97" i="5" s="1"/>
  <c r="C162" i="2"/>
  <c r="D162" i="2"/>
  <c r="C6" i="4"/>
  <c r="D156" i="2"/>
  <c r="C156" i="2"/>
  <c r="E156" i="2"/>
  <c r="D147" i="2"/>
  <c r="C159" i="2"/>
  <c r="F11" i="2"/>
  <c r="F226" i="2" s="1"/>
  <c r="F95" i="2" s="1"/>
  <c r="C69" i="5" s="1"/>
  <c r="F69" i="5" s="1"/>
  <c r="G146" i="2"/>
  <c r="F149" i="2"/>
  <c r="F13" i="2" s="1"/>
  <c r="E147" i="2"/>
  <c r="C50" i="4"/>
  <c r="C90" i="4" s="1"/>
  <c r="C122" i="4" s="1"/>
  <c r="G50" i="4"/>
  <c r="G90" i="4" s="1"/>
  <c r="G122" i="4" s="1"/>
  <c r="H50" i="4"/>
  <c r="H90" i="4" s="1"/>
  <c r="H122" i="4" s="1"/>
  <c r="I50" i="4"/>
  <c r="I90" i="4" s="1"/>
  <c r="I122" i="4" s="1"/>
  <c r="F50" i="4"/>
  <c r="F90" i="4" s="1"/>
  <c r="F122" i="4" s="1"/>
  <c r="G152" i="1"/>
  <c r="G149" i="1"/>
  <c r="G143" i="1"/>
  <c r="H143" i="1" s="1"/>
  <c r="I143" i="1" s="1"/>
  <c r="J143" i="1" s="1"/>
  <c r="F127" i="1"/>
  <c r="G127" i="1" s="1"/>
  <c r="G134" i="1"/>
  <c r="G140" i="1"/>
  <c r="G137" i="1"/>
  <c r="G129" i="1"/>
  <c r="F136" i="2" l="1"/>
  <c r="F62" i="2"/>
  <c r="C124" i="5" s="1"/>
  <c r="G80" i="4"/>
  <c r="G171" i="2"/>
  <c r="G192" i="2"/>
  <c r="G55" i="2" s="1"/>
  <c r="C116" i="5"/>
  <c r="F82" i="2"/>
  <c r="C56" i="5" s="1"/>
  <c r="F56" i="5" s="1"/>
  <c r="G10" i="5" s="1"/>
  <c r="G116" i="5"/>
  <c r="F29" i="2"/>
  <c r="F110" i="2" s="1"/>
  <c r="C114" i="5"/>
  <c r="F84" i="2"/>
  <c r="C58" i="5" s="1"/>
  <c r="F58" i="5" s="1"/>
  <c r="H227" i="2"/>
  <c r="C75" i="5"/>
  <c r="F75" i="5" s="1"/>
  <c r="G237" i="2"/>
  <c r="G24" i="2" s="1"/>
  <c r="G34" i="5" s="1"/>
  <c r="G101" i="2"/>
  <c r="F152" i="2"/>
  <c r="F16" i="2" s="1"/>
  <c r="C24" i="5" s="1"/>
  <c r="C16" i="5"/>
  <c r="H219" i="2"/>
  <c r="F37" i="2"/>
  <c r="C94" i="5" s="1"/>
  <c r="C27" i="5"/>
  <c r="F218" i="2"/>
  <c r="F87" i="2" s="1"/>
  <c r="C61" i="5" s="1"/>
  <c r="F61" i="5" s="1"/>
  <c r="H216" i="2"/>
  <c r="F156" i="2"/>
  <c r="F155" i="2" s="1"/>
  <c r="F17" i="2" s="1"/>
  <c r="C25" i="5" s="1"/>
  <c r="F41" i="2"/>
  <c r="C100" i="5" s="1"/>
  <c r="F212" i="2"/>
  <c r="F77" i="2" s="1"/>
  <c r="H213" i="2"/>
  <c r="F209" i="2"/>
  <c r="F76" i="2" s="1"/>
  <c r="H210" i="2"/>
  <c r="J104" i="2"/>
  <c r="G175" i="2"/>
  <c r="G39" i="2" s="1"/>
  <c r="G97" i="5" s="1"/>
  <c r="F56" i="2"/>
  <c r="C118" i="5" s="1"/>
  <c r="G204" i="2"/>
  <c r="H204" i="2" s="1"/>
  <c r="G190" i="2"/>
  <c r="G53" i="2" s="1"/>
  <c r="G25" i="2"/>
  <c r="G35" i="5" s="1"/>
  <c r="H171" i="2"/>
  <c r="G177" i="2"/>
  <c r="H177" i="2" s="1"/>
  <c r="G162" i="2"/>
  <c r="H162" i="2" s="1"/>
  <c r="H194" i="2"/>
  <c r="G56" i="2"/>
  <c r="G118" i="5" s="1"/>
  <c r="F196" i="2"/>
  <c r="F60" i="2" s="1"/>
  <c r="F117" i="2" s="1"/>
  <c r="G62" i="2"/>
  <c r="G124" i="5" s="1"/>
  <c r="H202" i="2"/>
  <c r="F187" i="2"/>
  <c r="F52" i="2" s="1"/>
  <c r="H188" i="2"/>
  <c r="H185" i="2"/>
  <c r="F184" i="2"/>
  <c r="F51" i="2" s="1"/>
  <c r="C111" i="5" s="1"/>
  <c r="H182" i="2"/>
  <c r="F159" i="2"/>
  <c r="F158" i="2" s="1"/>
  <c r="F18" i="2" s="1"/>
  <c r="G29" i="2"/>
  <c r="G40" i="5" s="1"/>
  <c r="H169" i="2"/>
  <c r="F12" i="2"/>
  <c r="H146" i="2"/>
  <c r="G11" i="2"/>
  <c r="G218" i="2" s="1"/>
  <c r="G87" i="2" s="1"/>
  <c r="G149" i="2"/>
  <c r="G13" i="2" s="1"/>
  <c r="G41" i="2"/>
  <c r="G100" i="5" s="1"/>
  <c r="H179" i="2"/>
  <c r="H80" i="4"/>
  <c r="H41" i="4"/>
  <c r="G41" i="4"/>
  <c r="H149" i="1"/>
  <c r="H152" i="1"/>
  <c r="G44" i="1"/>
  <c r="H129" i="1"/>
  <c r="H127" i="1"/>
  <c r="H134" i="1"/>
  <c r="H137" i="1"/>
  <c r="H140" i="1"/>
  <c r="F118" i="2" l="1"/>
  <c r="C138" i="5" s="1"/>
  <c r="C137" i="5"/>
  <c r="C40" i="5"/>
  <c r="G75" i="5"/>
  <c r="G8" i="5"/>
  <c r="G136" i="2"/>
  <c r="H192" i="2"/>
  <c r="H55" i="2" s="1"/>
  <c r="H116" i="5" s="1"/>
  <c r="G82" i="2"/>
  <c r="C122" i="5"/>
  <c r="G56" i="5"/>
  <c r="H175" i="2"/>
  <c r="I175" i="2" s="1"/>
  <c r="G84" i="2"/>
  <c r="G114" i="5"/>
  <c r="G58" i="5" s="1"/>
  <c r="C113" i="5"/>
  <c r="C119" i="5" s="1"/>
  <c r="F86" i="2"/>
  <c r="G156" i="2"/>
  <c r="G155" i="2" s="1"/>
  <c r="G17" i="2" s="1"/>
  <c r="G65" i="2"/>
  <c r="G128" i="5" s="1"/>
  <c r="G209" i="2"/>
  <c r="G76" i="2" s="1"/>
  <c r="G44" i="2" s="1"/>
  <c r="H190" i="2"/>
  <c r="I190" i="2" s="1"/>
  <c r="G212" i="2"/>
  <c r="G77" i="2" s="1"/>
  <c r="I219" i="2"/>
  <c r="C50" i="5"/>
  <c r="F50" i="5" s="1"/>
  <c r="F44" i="2"/>
  <c r="C104" i="5" s="1"/>
  <c r="F36" i="2"/>
  <c r="C26" i="5"/>
  <c r="C31" i="5" s="1"/>
  <c r="C51" i="5"/>
  <c r="F51" i="5" s="1"/>
  <c r="H101" i="2"/>
  <c r="H237" i="2"/>
  <c r="H24" i="2" s="1"/>
  <c r="H34" i="5" s="1"/>
  <c r="C18" i="5"/>
  <c r="C20" i="5" s="1"/>
  <c r="C160" i="5" s="1"/>
  <c r="F215" i="2"/>
  <c r="F81" i="2" s="1"/>
  <c r="I216" i="2"/>
  <c r="G152" i="2"/>
  <c r="G16" i="2" s="1"/>
  <c r="G24" i="5" s="1"/>
  <c r="G16" i="5"/>
  <c r="I227" i="2"/>
  <c r="C84" i="5"/>
  <c r="F84" i="5" s="1"/>
  <c r="G110" i="2"/>
  <c r="G226" i="2"/>
  <c r="G95" i="2" s="1"/>
  <c r="I210" i="2"/>
  <c r="I213" i="2"/>
  <c r="G159" i="2"/>
  <c r="G158" i="2" s="1"/>
  <c r="G18" i="2" s="1"/>
  <c r="G161" i="2"/>
  <c r="G19" i="2" s="1"/>
  <c r="G40" i="2"/>
  <c r="G99" i="5" s="1"/>
  <c r="G196" i="2"/>
  <c r="G60" i="2" s="1"/>
  <c r="G117" i="2" s="1"/>
  <c r="I171" i="2"/>
  <c r="H25" i="2"/>
  <c r="H35" i="5" s="1"/>
  <c r="I202" i="2"/>
  <c r="H62" i="2"/>
  <c r="H124" i="5" s="1"/>
  <c r="I204" i="2"/>
  <c r="H65" i="2"/>
  <c r="H128" i="5" s="1"/>
  <c r="F21" i="2"/>
  <c r="I194" i="2"/>
  <c r="H56" i="2"/>
  <c r="H118" i="5" s="1"/>
  <c r="G184" i="2"/>
  <c r="G51" i="2" s="1"/>
  <c r="G111" i="5" s="1"/>
  <c r="I185" i="2"/>
  <c r="I188" i="2"/>
  <c r="G187" i="2"/>
  <c r="G52" i="2" s="1"/>
  <c r="G113" i="5" s="1"/>
  <c r="G12" i="2"/>
  <c r="I182" i="2"/>
  <c r="I169" i="2"/>
  <c r="H29" i="2"/>
  <c r="H40" i="5" s="1"/>
  <c r="I179" i="2"/>
  <c r="H41" i="2"/>
  <c r="H100" i="5" s="1"/>
  <c r="I146" i="2"/>
  <c r="H149" i="2"/>
  <c r="H13" i="2" s="1"/>
  <c r="H11" i="2"/>
  <c r="I177" i="2"/>
  <c r="H40" i="2"/>
  <c r="H99" i="5" s="1"/>
  <c r="I162" i="2"/>
  <c r="H161" i="2"/>
  <c r="H19" i="2" s="1"/>
  <c r="I80" i="4"/>
  <c r="I41" i="4"/>
  <c r="I152" i="1"/>
  <c r="I149" i="1"/>
  <c r="I134" i="1"/>
  <c r="I127" i="1"/>
  <c r="I129" i="1"/>
  <c r="H44" i="1"/>
  <c r="I140" i="1"/>
  <c r="I137" i="1"/>
  <c r="H75" i="5" l="1"/>
  <c r="G118" i="2"/>
  <c r="G138" i="5" s="1"/>
  <c r="G137" i="5"/>
  <c r="H82" i="2"/>
  <c r="I192" i="2"/>
  <c r="I55" i="2" s="1"/>
  <c r="I82" i="2" s="1"/>
  <c r="H39" i="2"/>
  <c r="H97" i="5" s="1"/>
  <c r="H136" i="2"/>
  <c r="G84" i="5"/>
  <c r="H84" i="5" s="1"/>
  <c r="G9" i="5"/>
  <c r="G122" i="5"/>
  <c r="H56" i="5"/>
  <c r="H53" i="2"/>
  <c r="H114" i="5" s="1"/>
  <c r="H58" i="5" s="1"/>
  <c r="F83" i="2"/>
  <c r="C57" i="5" s="1"/>
  <c r="F57" i="5" s="1"/>
  <c r="C93" i="5"/>
  <c r="H156" i="2"/>
  <c r="I156" i="2" s="1"/>
  <c r="H159" i="2"/>
  <c r="H158" i="2" s="1"/>
  <c r="H18" i="2" s="1"/>
  <c r="H26" i="5" s="1"/>
  <c r="G18" i="5"/>
  <c r="G215" i="2"/>
  <c r="G81" i="2" s="1"/>
  <c r="G45" i="2" s="1"/>
  <c r="J227" i="2"/>
  <c r="J216" i="2"/>
  <c r="C60" i="5"/>
  <c r="F60" i="5" s="1"/>
  <c r="H212" i="2"/>
  <c r="H77" i="2" s="1"/>
  <c r="H16" i="5"/>
  <c r="G37" i="2"/>
  <c r="G27" i="5"/>
  <c r="C55" i="5"/>
  <c r="F55" i="5" s="1"/>
  <c r="F45" i="2"/>
  <c r="C105" i="5" s="1"/>
  <c r="J219" i="2"/>
  <c r="C33" i="5"/>
  <c r="H218" i="2"/>
  <c r="H87" i="2" s="1"/>
  <c r="H110" i="2"/>
  <c r="I101" i="2"/>
  <c r="I237" i="2"/>
  <c r="I24" i="2" s="1"/>
  <c r="I34" i="5" s="1"/>
  <c r="H37" i="2"/>
  <c r="H94" i="5" s="1"/>
  <c r="H27" i="5"/>
  <c r="G36" i="2"/>
  <c r="G26" i="5"/>
  <c r="G21" i="2"/>
  <c r="G25" i="5"/>
  <c r="H226" i="2"/>
  <c r="H95" i="2" s="1"/>
  <c r="H209" i="2"/>
  <c r="H76" i="2" s="1"/>
  <c r="J213" i="2"/>
  <c r="J210" i="2"/>
  <c r="J171" i="2"/>
  <c r="J25" i="2" s="1"/>
  <c r="J35" i="5" s="1"/>
  <c r="I25" i="2"/>
  <c r="I35" i="5" s="1"/>
  <c r="J190" i="2"/>
  <c r="J53" i="2" s="1"/>
  <c r="J114" i="5" s="1"/>
  <c r="I53" i="2"/>
  <c r="H152" i="2"/>
  <c r="H16" i="2" s="1"/>
  <c r="H24" i="5" s="1"/>
  <c r="H196" i="2"/>
  <c r="H60" i="2" s="1"/>
  <c r="H117" i="2" s="1"/>
  <c r="J194" i="2"/>
  <c r="J56" i="2" s="1"/>
  <c r="J118" i="5" s="1"/>
  <c r="I56" i="2"/>
  <c r="I118" i="5" s="1"/>
  <c r="H187" i="2"/>
  <c r="H52" i="2" s="1"/>
  <c r="H113" i="5" s="1"/>
  <c r="J204" i="2"/>
  <c r="J65" i="2" s="1"/>
  <c r="J128" i="5" s="1"/>
  <c r="I65" i="2"/>
  <c r="I128" i="5" s="1"/>
  <c r="H184" i="2"/>
  <c r="H51" i="2" s="1"/>
  <c r="H111" i="5" s="1"/>
  <c r="J202" i="2"/>
  <c r="J62" i="2" s="1"/>
  <c r="J124" i="5" s="1"/>
  <c r="I62" i="2"/>
  <c r="I124" i="5" s="1"/>
  <c r="J188" i="2"/>
  <c r="J185" i="2"/>
  <c r="J169" i="2"/>
  <c r="J29" i="2" s="1"/>
  <c r="J40" i="5" s="1"/>
  <c r="I29" i="2"/>
  <c r="I40" i="5" s="1"/>
  <c r="J182" i="2"/>
  <c r="J175" i="2"/>
  <c r="J39" i="2" s="1"/>
  <c r="J97" i="5" s="1"/>
  <c r="I39" i="2"/>
  <c r="I97" i="5" s="1"/>
  <c r="J162" i="2"/>
  <c r="I161" i="2"/>
  <c r="I19" i="2" s="1"/>
  <c r="J177" i="2"/>
  <c r="J40" i="2" s="1"/>
  <c r="J99" i="5" s="1"/>
  <c r="I40" i="2"/>
  <c r="I99" i="5" s="1"/>
  <c r="H12" i="2"/>
  <c r="J146" i="2"/>
  <c r="I11" i="2"/>
  <c r="I226" i="2" s="1"/>
  <c r="I95" i="2" s="1"/>
  <c r="I149" i="2"/>
  <c r="I13" i="2" s="1"/>
  <c r="J179" i="2"/>
  <c r="J41" i="2" s="1"/>
  <c r="J100" i="5" s="1"/>
  <c r="I41" i="2"/>
  <c r="I100" i="5" s="1"/>
  <c r="J80" i="4"/>
  <c r="J41" i="4"/>
  <c r="J149" i="1"/>
  <c r="J152" i="1"/>
  <c r="J137" i="1"/>
  <c r="J127" i="1"/>
  <c r="J140" i="1"/>
  <c r="J129" i="1"/>
  <c r="J44" i="1" s="1"/>
  <c r="I44" i="1"/>
  <c r="J134" i="1"/>
  <c r="H118" i="2" l="1"/>
  <c r="H138" i="5" s="1"/>
  <c r="H137" i="5"/>
  <c r="I75" i="5"/>
  <c r="C37" i="5"/>
  <c r="C155" i="5"/>
  <c r="C161" i="5"/>
  <c r="C148" i="5"/>
  <c r="C162" i="5" s="1"/>
  <c r="C149" i="5"/>
  <c r="H36" i="2"/>
  <c r="H93" i="5" s="1"/>
  <c r="I136" i="2"/>
  <c r="J192" i="2"/>
  <c r="J55" i="2" s="1"/>
  <c r="J82" i="2" s="1"/>
  <c r="I116" i="5"/>
  <c r="I56" i="5" s="1"/>
  <c r="I159" i="2"/>
  <c r="J159" i="2" s="1"/>
  <c r="J158" i="2" s="1"/>
  <c r="J18" i="2" s="1"/>
  <c r="H84" i="2"/>
  <c r="I84" i="2" s="1"/>
  <c r="J84" i="2" s="1"/>
  <c r="H122" i="5"/>
  <c r="I12" i="2"/>
  <c r="I18" i="5" s="1"/>
  <c r="H155" i="2"/>
  <c r="H17" i="2" s="1"/>
  <c r="H21" i="2" s="1"/>
  <c r="I114" i="5"/>
  <c r="I58" i="5" s="1"/>
  <c r="J58" i="5" s="1"/>
  <c r="I84" i="5"/>
  <c r="J84" i="5" s="1"/>
  <c r="G86" i="2"/>
  <c r="H86" i="2" s="1"/>
  <c r="G94" i="5"/>
  <c r="G83" i="2"/>
  <c r="G93" i="5"/>
  <c r="H51" i="5"/>
  <c r="H50" i="5"/>
  <c r="F62" i="5"/>
  <c r="I218" i="2"/>
  <c r="I87" i="2" s="1"/>
  <c r="C62" i="5"/>
  <c r="H44" i="2"/>
  <c r="I37" i="2"/>
  <c r="I94" i="5" s="1"/>
  <c r="I27" i="5"/>
  <c r="H18" i="5"/>
  <c r="H215" i="2"/>
  <c r="H81" i="2" s="1"/>
  <c r="I209" i="2"/>
  <c r="I76" i="2" s="1"/>
  <c r="I44" i="2" s="1"/>
  <c r="I16" i="5"/>
  <c r="J101" i="2"/>
  <c r="J237" i="2"/>
  <c r="J24" i="2" s="1"/>
  <c r="J34" i="5" s="1"/>
  <c r="I110" i="2"/>
  <c r="J110" i="2" s="1"/>
  <c r="I212" i="2"/>
  <c r="I77" i="2" s="1"/>
  <c r="I152" i="2"/>
  <c r="I16" i="2" s="1"/>
  <c r="I24" i="5" s="1"/>
  <c r="I196" i="2"/>
  <c r="I60" i="2" s="1"/>
  <c r="I117" i="2" s="1"/>
  <c r="I184" i="2"/>
  <c r="I51" i="2" s="1"/>
  <c r="I111" i="5" s="1"/>
  <c r="I187" i="2"/>
  <c r="I52" i="2" s="1"/>
  <c r="I113" i="5" s="1"/>
  <c r="J161" i="2"/>
  <c r="J19" i="2" s="1"/>
  <c r="J156" i="2"/>
  <c r="J155" i="2" s="1"/>
  <c r="J17" i="2" s="1"/>
  <c r="J25" i="5" s="1"/>
  <c r="I155" i="2"/>
  <c r="I17" i="2" s="1"/>
  <c r="J11" i="2"/>
  <c r="J149" i="2"/>
  <c r="J13" i="2" s="1"/>
  <c r="J40" i="1"/>
  <c r="I40" i="1"/>
  <c r="H40" i="1"/>
  <c r="G40" i="1"/>
  <c r="F40" i="1"/>
  <c r="E124" i="1"/>
  <c r="D124" i="1"/>
  <c r="C124" i="1"/>
  <c r="D121" i="1"/>
  <c r="C121" i="1"/>
  <c r="E121" i="1"/>
  <c r="D122" i="1"/>
  <c r="C122" i="1"/>
  <c r="E122" i="1"/>
  <c r="E118" i="1"/>
  <c r="E119" i="1" s="1"/>
  <c r="D118" i="1"/>
  <c r="D119" i="1" s="1"/>
  <c r="C118" i="1"/>
  <c r="C119" i="1" s="1"/>
  <c r="J29" i="1"/>
  <c r="I29" i="1"/>
  <c r="H29" i="1"/>
  <c r="G29" i="1"/>
  <c r="F29" i="1"/>
  <c r="E116" i="1"/>
  <c r="D116" i="1"/>
  <c r="C116" i="1"/>
  <c r="E115" i="1"/>
  <c r="F115" i="1" s="1"/>
  <c r="D115" i="1"/>
  <c r="C115" i="1"/>
  <c r="G114" i="1"/>
  <c r="H114" i="1" s="1"/>
  <c r="I114" i="1" s="1"/>
  <c r="J114" i="1" s="1"/>
  <c r="J20" i="1"/>
  <c r="I20" i="1"/>
  <c r="H20" i="1"/>
  <c r="G20" i="1"/>
  <c r="F20" i="1"/>
  <c r="F87" i="1" s="1"/>
  <c r="G87" i="1" s="1"/>
  <c r="H87" i="1" s="1"/>
  <c r="I87" i="1" s="1"/>
  <c r="J87" i="1" s="1"/>
  <c r="E111" i="1"/>
  <c r="D111" i="1"/>
  <c r="C111" i="1"/>
  <c r="E108" i="1"/>
  <c r="D108" i="1"/>
  <c r="C108" i="1"/>
  <c r="J16" i="1"/>
  <c r="I16" i="1"/>
  <c r="H16" i="1"/>
  <c r="G16" i="1"/>
  <c r="F16" i="1"/>
  <c r="E106" i="1"/>
  <c r="D106" i="1"/>
  <c r="C106" i="1"/>
  <c r="E103" i="1"/>
  <c r="E104" i="1" s="1"/>
  <c r="F104" i="1" s="1"/>
  <c r="D103" i="1"/>
  <c r="D104" i="1" s="1"/>
  <c r="C103" i="1"/>
  <c r="C104" i="1" s="1"/>
  <c r="E100" i="1"/>
  <c r="E101" i="1" s="1"/>
  <c r="D100" i="1"/>
  <c r="D101" i="1" s="1"/>
  <c r="C100" i="1"/>
  <c r="C101" i="1" s="1"/>
  <c r="D95" i="1"/>
  <c r="E95" i="1"/>
  <c r="D94" i="1"/>
  <c r="C94" i="1"/>
  <c r="E94" i="1"/>
  <c r="F94" i="1" s="1"/>
  <c r="H83" i="2" l="1"/>
  <c r="I158" i="2"/>
  <c r="I18" i="2" s="1"/>
  <c r="I118" i="2"/>
  <c r="I138" i="5" s="1"/>
  <c r="I137" i="5"/>
  <c r="J75" i="5"/>
  <c r="J116" i="5"/>
  <c r="J56" i="5" s="1"/>
  <c r="J136" i="2"/>
  <c r="I215" i="2"/>
  <c r="I81" i="2" s="1"/>
  <c r="I45" i="2" s="1"/>
  <c r="I122" i="5"/>
  <c r="J12" i="2"/>
  <c r="J18" i="5" s="1"/>
  <c r="H25" i="5"/>
  <c r="G88" i="2"/>
  <c r="I50" i="5"/>
  <c r="I104" i="5" s="1"/>
  <c r="I51" i="5"/>
  <c r="I86" i="2"/>
  <c r="J212" i="2"/>
  <c r="J77" i="2" s="1"/>
  <c r="J16" i="5"/>
  <c r="I21" i="2"/>
  <c r="I23" i="2" s="1"/>
  <c r="I131" i="2" s="1"/>
  <c r="I25" i="5"/>
  <c r="H88" i="2"/>
  <c r="I36" i="2"/>
  <c r="I26" i="5"/>
  <c r="J37" i="2"/>
  <c r="J94" i="5" s="1"/>
  <c r="J27" i="5"/>
  <c r="J218" i="2"/>
  <c r="J87" i="2" s="1"/>
  <c r="H45" i="2"/>
  <c r="J226" i="2"/>
  <c r="J95" i="2" s="1"/>
  <c r="J36" i="2"/>
  <c r="J93" i="5" s="1"/>
  <c r="J26" i="5"/>
  <c r="J209" i="2"/>
  <c r="J76" i="2" s="1"/>
  <c r="J44" i="2" s="1"/>
  <c r="J152" i="2"/>
  <c r="J16" i="2" s="1"/>
  <c r="J24" i="5" s="1"/>
  <c r="J196" i="2"/>
  <c r="J60" i="2" s="1"/>
  <c r="J117" i="2" s="1"/>
  <c r="J187" i="2"/>
  <c r="J52" i="2" s="1"/>
  <c r="J113" i="5" s="1"/>
  <c r="J184" i="2"/>
  <c r="J51" i="2" s="1"/>
  <c r="F100" i="1"/>
  <c r="F11" i="1" s="1"/>
  <c r="C33" i="4" s="1"/>
  <c r="F28" i="1"/>
  <c r="G115" i="1"/>
  <c r="F103" i="1"/>
  <c r="F12" i="1" s="1"/>
  <c r="G104" i="1"/>
  <c r="F6" i="1"/>
  <c r="C28" i="4" s="1"/>
  <c r="G94" i="1"/>
  <c r="G93" i="1"/>
  <c r="H93" i="1" s="1"/>
  <c r="I93" i="1" s="1"/>
  <c r="J93" i="1" s="1"/>
  <c r="G52" i="1"/>
  <c r="H52" i="1" s="1"/>
  <c r="I52" i="1" s="1"/>
  <c r="J52" i="1" s="1"/>
  <c r="G24" i="1"/>
  <c r="H24" i="1" s="1"/>
  <c r="I24" i="1" s="1"/>
  <c r="J24" i="1" s="1"/>
  <c r="G5" i="1"/>
  <c r="H5" i="1" s="1"/>
  <c r="I5" i="1" s="1"/>
  <c r="J5" i="1" s="1"/>
  <c r="G23" i="2"/>
  <c r="G131" i="2" s="1"/>
  <c r="H23" i="2"/>
  <c r="H131" i="2" s="1"/>
  <c r="G57" i="2"/>
  <c r="H57" i="2"/>
  <c r="I57" i="2"/>
  <c r="G33" i="2"/>
  <c r="H33" i="2" s="1"/>
  <c r="I33" i="2" s="1"/>
  <c r="J33" i="2" s="1"/>
  <c r="G10" i="2"/>
  <c r="H10" i="2" s="1"/>
  <c r="I10" i="2" s="1"/>
  <c r="J10" i="2" s="1"/>
  <c r="J118" i="2" l="1"/>
  <c r="J137" i="5"/>
  <c r="J215" i="2"/>
  <c r="J81" i="2" s="1"/>
  <c r="J45" i="2" s="1"/>
  <c r="H26" i="2"/>
  <c r="H166" i="2" s="1"/>
  <c r="H27" i="2" s="1"/>
  <c r="H125" i="2"/>
  <c r="H137" i="2" s="1"/>
  <c r="H124" i="2"/>
  <c r="H138" i="2" s="1"/>
  <c r="G26" i="2"/>
  <c r="G166" i="2" s="1"/>
  <c r="G27" i="2" s="1"/>
  <c r="G125" i="2"/>
  <c r="G137" i="2" s="1"/>
  <c r="G124" i="2"/>
  <c r="G138" i="2" s="1"/>
  <c r="J122" i="5"/>
  <c r="I26" i="2"/>
  <c r="I166" i="2" s="1"/>
  <c r="I27" i="2" s="1"/>
  <c r="I125" i="2"/>
  <c r="I137" i="2" s="1"/>
  <c r="I124" i="2"/>
  <c r="I138" i="2" s="1"/>
  <c r="J57" i="2"/>
  <c r="J111" i="5"/>
  <c r="I83" i="2"/>
  <c r="J83" i="2" s="1"/>
  <c r="I93" i="5"/>
  <c r="J50" i="5"/>
  <c r="J104" i="5" s="1"/>
  <c r="J51" i="5"/>
  <c r="J86" i="2"/>
  <c r="J21" i="2"/>
  <c r="J23" i="2" s="1"/>
  <c r="J131" i="2" s="1"/>
  <c r="F27" i="1"/>
  <c r="C93" i="4" s="1"/>
  <c r="F64" i="1"/>
  <c r="C36" i="4"/>
  <c r="C37" i="4" s="1"/>
  <c r="F142" i="1"/>
  <c r="F65" i="1" s="1"/>
  <c r="C63" i="4" s="1"/>
  <c r="F63" i="4" s="1"/>
  <c r="F148" i="1"/>
  <c r="F73" i="1" s="1"/>
  <c r="C71" i="4" s="1"/>
  <c r="F71" i="4" s="1"/>
  <c r="H104" i="1"/>
  <c r="G103" i="1"/>
  <c r="G12" i="1" s="1"/>
  <c r="G30" i="5" s="1"/>
  <c r="H115" i="1"/>
  <c r="G28" i="1"/>
  <c r="F13" i="1"/>
  <c r="F145" i="1" s="1"/>
  <c r="F72" i="1" s="1"/>
  <c r="G100" i="1"/>
  <c r="G11" i="1" s="1"/>
  <c r="G29" i="5" s="1"/>
  <c r="F133" i="1"/>
  <c r="F56" i="1" s="1"/>
  <c r="C54" i="4" s="1"/>
  <c r="F54" i="4" s="1"/>
  <c r="F139" i="1"/>
  <c r="F61" i="1" s="1"/>
  <c r="C59" i="4" s="1"/>
  <c r="F59" i="4" s="1"/>
  <c r="F136" i="1"/>
  <c r="F57" i="1" s="1"/>
  <c r="C55" i="4" s="1"/>
  <c r="F55" i="4" s="1"/>
  <c r="F126" i="1"/>
  <c r="F43" i="1" s="1"/>
  <c r="F121" i="1"/>
  <c r="F39" i="1" s="1"/>
  <c r="H94" i="1"/>
  <c r="G6" i="1"/>
  <c r="D88" i="1"/>
  <c r="E88" i="1"/>
  <c r="T88" i="1"/>
  <c r="T82" i="1"/>
  <c r="T75" i="1"/>
  <c r="T76" i="1" s="1"/>
  <c r="T66" i="1"/>
  <c r="T58" i="1"/>
  <c r="R88" i="1"/>
  <c r="R84" i="1"/>
  <c r="R82" i="1"/>
  <c r="R81" i="1"/>
  <c r="R80" i="1"/>
  <c r="R79" i="1"/>
  <c r="R78" i="1"/>
  <c r="R76" i="1"/>
  <c r="R75" i="1"/>
  <c r="R74" i="1"/>
  <c r="R73" i="1"/>
  <c r="R72" i="1"/>
  <c r="R71" i="1"/>
  <c r="R68" i="1"/>
  <c r="R66" i="1"/>
  <c r="R65" i="1"/>
  <c r="R64" i="1"/>
  <c r="R63" i="1"/>
  <c r="R62" i="1"/>
  <c r="R61" i="1"/>
  <c r="R60" i="1"/>
  <c r="R58" i="1"/>
  <c r="R57" i="1"/>
  <c r="R56" i="1"/>
  <c r="R55" i="1"/>
  <c r="R54" i="1"/>
  <c r="T45" i="1"/>
  <c r="S45" i="1"/>
  <c r="S41" i="1"/>
  <c r="T41" i="1"/>
  <c r="S36" i="1"/>
  <c r="T36" i="1"/>
  <c r="S27" i="1"/>
  <c r="T27" i="1"/>
  <c r="S13" i="1"/>
  <c r="R45" i="1"/>
  <c r="R44" i="1"/>
  <c r="R43" i="1"/>
  <c r="R41" i="1"/>
  <c r="R40" i="1"/>
  <c r="R39" i="1"/>
  <c r="R37" i="1"/>
  <c r="R36" i="1"/>
  <c r="R35" i="1"/>
  <c r="R34" i="1"/>
  <c r="R33" i="1"/>
  <c r="R32" i="1"/>
  <c r="R31" i="1"/>
  <c r="R30" i="1"/>
  <c r="R29" i="1"/>
  <c r="R28" i="1"/>
  <c r="R27" i="1"/>
  <c r="R26" i="1"/>
  <c r="R25" i="1"/>
  <c r="T24" i="1"/>
  <c r="T52" i="1" s="1"/>
  <c r="S24" i="1"/>
  <c r="T13" i="1"/>
  <c r="S7" i="1"/>
  <c r="T7" i="1"/>
  <c r="R20" i="1"/>
  <c r="R6" i="1"/>
  <c r="R5" i="1"/>
  <c r="G28" i="4" l="1"/>
  <c r="G25" i="10" s="1"/>
  <c r="G26" i="10" s="1"/>
  <c r="G17" i="5"/>
  <c r="G31" i="5"/>
  <c r="J138" i="5"/>
  <c r="C7" i="6"/>
  <c r="C70" i="4"/>
  <c r="F70" i="4" s="1"/>
  <c r="D68" i="5"/>
  <c r="J26" i="2"/>
  <c r="J166" i="2" s="1"/>
  <c r="J27" i="2" s="1"/>
  <c r="J181" i="2" s="1"/>
  <c r="J42" i="2" s="1"/>
  <c r="J125" i="2"/>
  <c r="J137" i="2" s="1"/>
  <c r="J124" i="2"/>
  <c r="J138" i="2" s="1"/>
  <c r="J88" i="2"/>
  <c r="I88" i="2"/>
  <c r="I28" i="2"/>
  <c r="I34" i="2" s="1"/>
  <c r="I181" i="2"/>
  <c r="I42" i="2" s="1"/>
  <c r="H28" i="2"/>
  <c r="H34" i="2" s="1"/>
  <c r="H181" i="2"/>
  <c r="H42" i="2" s="1"/>
  <c r="G28" i="2"/>
  <c r="G30" i="2" s="1"/>
  <c r="G139" i="2" s="1"/>
  <c r="G181" i="2"/>
  <c r="G42" i="2" s="1"/>
  <c r="F45" i="1"/>
  <c r="C110" i="4"/>
  <c r="C114" i="4" s="1"/>
  <c r="G64" i="1"/>
  <c r="C62" i="4"/>
  <c r="F62" i="4" s="1"/>
  <c r="G13" i="1"/>
  <c r="G145" i="1" s="1"/>
  <c r="G72" i="1" s="1"/>
  <c r="G33" i="4"/>
  <c r="G35" i="4"/>
  <c r="G27" i="1"/>
  <c r="G95" i="5" s="1"/>
  <c r="G60" i="5" s="1"/>
  <c r="G36" i="4"/>
  <c r="G93" i="4" s="1"/>
  <c r="G31" i="10" s="1"/>
  <c r="G32" i="10" s="1"/>
  <c r="F41" i="1"/>
  <c r="F63" i="1"/>
  <c r="F66" i="1" s="1"/>
  <c r="C105" i="4"/>
  <c r="F34" i="1"/>
  <c r="C100" i="4" s="1"/>
  <c r="F33" i="1"/>
  <c r="C99" i="4" s="1"/>
  <c r="F32" i="1"/>
  <c r="C98" i="4" s="1"/>
  <c r="G142" i="1"/>
  <c r="G65" i="1" s="1"/>
  <c r="G63" i="4" s="1"/>
  <c r="G148" i="1"/>
  <c r="G73" i="1" s="1"/>
  <c r="G71" i="4" s="1"/>
  <c r="H100" i="1"/>
  <c r="H11" i="1" s="1"/>
  <c r="I115" i="1"/>
  <c r="H28" i="1"/>
  <c r="T68" i="1"/>
  <c r="G126" i="1"/>
  <c r="G43" i="1" s="1"/>
  <c r="G139" i="1"/>
  <c r="G61" i="1" s="1"/>
  <c r="G59" i="4" s="1"/>
  <c r="G136" i="1"/>
  <c r="G57" i="1" s="1"/>
  <c r="G55" i="4" s="1"/>
  <c r="G133" i="1"/>
  <c r="G56" i="1" s="1"/>
  <c r="G121" i="1"/>
  <c r="G39" i="1" s="1"/>
  <c r="G112" i="5" s="1"/>
  <c r="I104" i="1"/>
  <c r="H103" i="1"/>
  <c r="H12" i="1" s="1"/>
  <c r="H30" i="5" s="1"/>
  <c r="I94" i="1"/>
  <c r="H6" i="1"/>
  <c r="T84" i="1"/>
  <c r="S15" i="1"/>
  <c r="S17" i="1" s="1"/>
  <c r="S19" i="1" s="1"/>
  <c r="S21" i="1" s="1"/>
  <c r="T15" i="1"/>
  <c r="T17" i="1" s="1"/>
  <c r="T19" i="1" s="1"/>
  <c r="T21" i="1" s="1"/>
  <c r="F57" i="2"/>
  <c r="F23" i="2"/>
  <c r="F131" i="2" s="1"/>
  <c r="F88" i="2"/>
  <c r="T111" i="2"/>
  <c r="T105" i="2"/>
  <c r="T98" i="2"/>
  <c r="R111" i="2"/>
  <c r="R110" i="2"/>
  <c r="R109" i="2"/>
  <c r="R105" i="2"/>
  <c r="R104" i="2"/>
  <c r="R103" i="2"/>
  <c r="R102" i="2"/>
  <c r="R101" i="2"/>
  <c r="R100" i="2"/>
  <c r="R98" i="2"/>
  <c r="R97" i="2"/>
  <c r="R96" i="2"/>
  <c r="R95" i="2"/>
  <c r="R94" i="2"/>
  <c r="R93" i="2"/>
  <c r="T88" i="2"/>
  <c r="T78" i="2"/>
  <c r="R90" i="2"/>
  <c r="R88" i="2"/>
  <c r="R87" i="2"/>
  <c r="R86" i="2"/>
  <c r="R85" i="2"/>
  <c r="R84" i="2"/>
  <c r="R83" i="2"/>
  <c r="R82" i="2"/>
  <c r="R81" i="2"/>
  <c r="R80" i="2"/>
  <c r="R78" i="2"/>
  <c r="R77" i="2"/>
  <c r="R76" i="2"/>
  <c r="R75" i="2"/>
  <c r="R74" i="2"/>
  <c r="T72" i="2"/>
  <c r="S59" i="2"/>
  <c r="S63" i="2" s="1"/>
  <c r="S57" i="2"/>
  <c r="T59" i="2"/>
  <c r="T63" i="2" s="1"/>
  <c r="R62" i="2"/>
  <c r="R61" i="2"/>
  <c r="R60" i="2"/>
  <c r="R59" i="2"/>
  <c r="T51" i="2"/>
  <c r="T57" i="2" s="1"/>
  <c r="R56" i="2"/>
  <c r="R55" i="2"/>
  <c r="R54" i="2"/>
  <c r="R53" i="2"/>
  <c r="R52" i="2"/>
  <c r="R51" i="2"/>
  <c r="T48" i="2"/>
  <c r="S48" i="2"/>
  <c r="T38" i="2"/>
  <c r="S38" i="2"/>
  <c r="T37" i="2"/>
  <c r="T36" i="2"/>
  <c r="S37" i="2"/>
  <c r="S36" i="2"/>
  <c r="R42" i="2"/>
  <c r="R41" i="2"/>
  <c r="R40" i="2"/>
  <c r="R39" i="2"/>
  <c r="R38" i="2"/>
  <c r="R37" i="2"/>
  <c r="R36" i="2"/>
  <c r="T21" i="2"/>
  <c r="S21" i="2"/>
  <c r="S13" i="2"/>
  <c r="T13" i="2"/>
  <c r="C109" i="2"/>
  <c r="C105" i="2"/>
  <c r="C96" i="2"/>
  <c r="C82" i="2"/>
  <c r="C88" i="2" s="1"/>
  <c r="C78" i="2"/>
  <c r="D111" i="2"/>
  <c r="E111" i="2"/>
  <c r="E105" i="2"/>
  <c r="D105" i="2"/>
  <c r="D98" i="2"/>
  <c r="E98" i="2"/>
  <c r="D88" i="2"/>
  <c r="E88" i="2"/>
  <c r="D78" i="2"/>
  <c r="E78" i="2"/>
  <c r="C59" i="2"/>
  <c r="C63" i="2" s="1"/>
  <c r="D59" i="2"/>
  <c r="D63" i="2" s="1"/>
  <c r="E59" i="2"/>
  <c r="E63" i="2" s="1"/>
  <c r="E57" i="2"/>
  <c r="D57" i="2"/>
  <c r="C57" i="2"/>
  <c r="E48" i="2"/>
  <c r="D48" i="2"/>
  <c r="C48" i="2"/>
  <c r="E38" i="2"/>
  <c r="D38" i="2"/>
  <c r="C38" i="2"/>
  <c r="E37" i="2"/>
  <c r="D37" i="2"/>
  <c r="E36" i="2"/>
  <c r="D36" i="2"/>
  <c r="C37" i="2"/>
  <c r="C36" i="2"/>
  <c r="C21" i="2"/>
  <c r="E21" i="2"/>
  <c r="D21" i="2"/>
  <c r="E13" i="1"/>
  <c r="D13" i="1"/>
  <c r="C13" i="1"/>
  <c r="G34" i="6" l="1"/>
  <c r="G119" i="5"/>
  <c r="G57" i="5"/>
  <c r="G140" i="5"/>
  <c r="G25" i="6"/>
  <c r="G50" i="5"/>
  <c r="G61" i="5"/>
  <c r="G51" i="5"/>
  <c r="G69" i="5"/>
  <c r="H28" i="4"/>
  <c r="H25" i="10" s="1"/>
  <c r="H26" i="10" s="1"/>
  <c r="H17" i="5"/>
  <c r="H33" i="4"/>
  <c r="H29" i="5"/>
  <c r="H31" i="5" s="1"/>
  <c r="J28" i="2"/>
  <c r="J34" i="2" s="1"/>
  <c r="C111" i="2"/>
  <c r="C130" i="2"/>
  <c r="G199" i="2"/>
  <c r="G61" i="2" s="1"/>
  <c r="G63" i="2" s="1"/>
  <c r="G122" i="2"/>
  <c r="F26" i="2"/>
  <c r="F166" i="2" s="1"/>
  <c r="F27" i="2" s="1"/>
  <c r="C38" i="5" s="1"/>
  <c r="C39" i="5" s="1"/>
  <c r="F125" i="2"/>
  <c r="F137" i="2" s="1"/>
  <c r="F124" i="2"/>
  <c r="F138" i="2" s="1"/>
  <c r="I30" i="2"/>
  <c r="I139" i="2" s="1"/>
  <c r="J30" i="2"/>
  <c r="J139" i="2" s="1"/>
  <c r="D107" i="2"/>
  <c r="E107" i="2"/>
  <c r="D224" i="2"/>
  <c r="D233" i="2"/>
  <c r="D230" i="2"/>
  <c r="C98" i="2"/>
  <c r="C107" i="2" s="1"/>
  <c r="C229" i="2"/>
  <c r="C230" i="2" s="1"/>
  <c r="E224" i="2"/>
  <c r="F224" i="2" s="1"/>
  <c r="G68" i="5" s="1"/>
  <c r="E230" i="2"/>
  <c r="E233" i="2"/>
  <c r="F233" i="2" s="1"/>
  <c r="G77" i="5" s="1"/>
  <c r="C224" i="2"/>
  <c r="C233" i="2"/>
  <c r="C108" i="4"/>
  <c r="C126" i="4"/>
  <c r="G37" i="4"/>
  <c r="H30" i="2"/>
  <c r="H139" i="2" s="1"/>
  <c r="G34" i="2"/>
  <c r="H27" i="1"/>
  <c r="H95" i="5" s="1"/>
  <c r="H60" i="5" s="1"/>
  <c r="H36" i="4"/>
  <c r="H93" i="4" s="1"/>
  <c r="H31" i="10" s="1"/>
  <c r="G34" i="1"/>
  <c r="G100" i="4" s="1"/>
  <c r="G70" i="4"/>
  <c r="G41" i="1"/>
  <c r="G105" i="4"/>
  <c r="G34" i="10" s="1"/>
  <c r="G35" i="10" s="1"/>
  <c r="H64" i="1"/>
  <c r="G62" i="4"/>
  <c r="G32" i="1"/>
  <c r="G98" i="4" s="1"/>
  <c r="G54" i="4"/>
  <c r="C61" i="4"/>
  <c r="F61" i="4" s="1"/>
  <c r="G63" i="1"/>
  <c r="G45" i="1"/>
  <c r="G110" i="4"/>
  <c r="G111" i="4" s="1"/>
  <c r="T49" i="2"/>
  <c r="T25" i="1"/>
  <c r="T37" i="1" s="1"/>
  <c r="E161" i="1"/>
  <c r="F161" i="1" s="1"/>
  <c r="E146" i="1"/>
  <c r="H142" i="1"/>
  <c r="H65" i="1" s="1"/>
  <c r="H63" i="4" s="1"/>
  <c r="H148" i="1"/>
  <c r="H73" i="1" s="1"/>
  <c r="H71" i="4" s="1"/>
  <c r="D146" i="1"/>
  <c r="D161" i="1"/>
  <c r="G33" i="1"/>
  <c r="G99" i="4" s="1"/>
  <c r="S25" i="1"/>
  <c r="S37" i="1" s="1"/>
  <c r="J104" i="1"/>
  <c r="I103" i="1"/>
  <c r="I12" i="1" s="1"/>
  <c r="I30" i="5" s="1"/>
  <c r="J115" i="1"/>
  <c r="J28" i="1" s="1"/>
  <c r="I28" i="1"/>
  <c r="H136" i="1"/>
  <c r="H57" i="1" s="1"/>
  <c r="H55" i="4" s="1"/>
  <c r="H133" i="1"/>
  <c r="H56" i="1" s="1"/>
  <c r="H126" i="1"/>
  <c r="H43" i="1" s="1"/>
  <c r="H139" i="1"/>
  <c r="H121" i="1"/>
  <c r="H39" i="1" s="1"/>
  <c r="H112" i="5" s="1"/>
  <c r="H13" i="1"/>
  <c r="H145" i="1" s="1"/>
  <c r="H72" i="1" s="1"/>
  <c r="I100" i="1"/>
  <c r="I11" i="1" s="1"/>
  <c r="J94" i="1"/>
  <c r="J6" i="1" s="1"/>
  <c r="I6" i="1"/>
  <c r="T90" i="2"/>
  <c r="T113" i="2" s="1"/>
  <c r="C90" i="2"/>
  <c r="S49" i="2"/>
  <c r="E90" i="2"/>
  <c r="D90" i="2"/>
  <c r="T23" i="2"/>
  <c r="T26" i="2" s="1"/>
  <c r="T28" i="2" s="1"/>
  <c r="S23" i="2"/>
  <c r="S26" i="2" s="1"/>
  <c r="S28" i="2" s="1"/>
  <c r="D13" i="2"/>
  <c r="D136" i="2" s="1"/>
  <c r="C13" i="2"/>
  <c r="E13" i="2"/>
  <c r="E136" i="2" s="1"/>
  <c r="D82" i="1"/>
  <c r="E82" i="1"/>
  <c r="D75" i="1"/>
  <c r="E75" i="1"/>
  <c r="D66" i="1"/>
  <c r="E66" i="1"/>
  <c r="D58" i="1"/>
  <c r="E58" i="1"/>
  <c r="E45" i="1"/>
  <c r="D45" i="1"/>
  <c r="C45" i="1"/>
  <c r="E41" i="1"/>
  <c r="D41" i="1"/>
  <c r="C41" i="1"/>
  <c r="E36" i="1"/>
  <c r="D36" i="1"/>
  <c r="C36" i="1"/>
  <c r="E27" i="1"/>
  <c r="D27" i="1"/>
  <c r="C27" i="1"/>
  <c r="C8" i="1"/>
  <c r="D8" i="1"/>
  <c r="D97" i="1" s="1"/>
  <c r="D98" i="1" s="1"/>
  <c r="E8" i="1"/>
  <c r="E97" i="1" s="1"/>
  <c r="E98" i="1" s="1"/>
  <c r="F98" i="1" s="1"/>
  <c r="G104" i="5" l="1"/>
  <c r="H104" i="5"/>
  <c r="G32" i="6"/>
  <c r="G26" i="6"/>
  <c r="H35" i="4"/>
  <c r="H37" i="4" s="1"/>
  <c r="H32" i="10"/>
  <c r="G35" i="6"/>
  <c r="J28" i="4"/>
  <c r="J25" i="10" s="1"/>
  <c r="J17" i="5"/>
  <c r="H34" i="6"/>
  <c r="H119" i="5"/>
  <c r="H57" i="5"/>
  <c r="H25" i="6"/>
  <c r="H140" i="5"/>
  <c r="H69" i="5"/>
  <c r="H61" i="5"/>
  <c r="I28" i="4"/>
  <c r="I25" i="10" s="1"/>
  <c r="I26" i="10" s="1"/>
  <c r="I17" i="5"/>
  <c r="G123" i="5"/>
  <c r="G126" i="5" s="1"/>
  <c r="I33" i="4"/>
  <c r="I29" i="5"/>
  <c r="I31" i="5" s="1"/>
  <c r="G141" i="2"/>
  <c r="G142" i="5"/>
  <c r="C149" i="2"/>
  <c r="C150" i="2" s="1"/>
  <c r="C136" i="2"/>
  <c r="J199" i="2"/>
  <c r="J61" i="2" s="1"/>
  <c r="J122" i="2"/>
  <c r="I199" i="2"/>
  <c r="I61" i="2" s="1"/>
  <c r="I122" i="2"/>
  <c r="H199" i="2"/>
  <c r="H61" i="2" s="1"/>
  <c r="H123" i="5" s="1"/>
  <c r="H126" i="5" s="1"/>
  <c r="H122" i="2"/>
  <c r="E113" i="2"/>
  <c r="D113" i="2"/>
  <c r="C113" i="2"/>
  <c r="C42" i="5"/>
  <c r="C143" i="5" s="1"/>
  <c r="C91" i="5"/>
  <c r="F232" i="2"/>
  <c r="F103" i="2" s="1"/>
  <c r="G233" i="2"/>
  <c r="H77" i="5" s="1"/>
  <c r="G224" i="2"/>
  <c r="H68" i="5" s="1"/>
  <c r="F223" i="2"/>
  <c r="F94" i="2" s="1"/>
  <c r="F230" i="2"/>
  <c r="G70" i="5" s="1"/>
  <c r="G72" i="5" s="1"/>
  <c r="G108" i="4"/>
  <c r="G126" i="4"/>
  <c r="F28" i="2"/>
  <c r="F34" i="2" s="1"/>
  <c r="F181" i="2"/>
  <c r="F42" i="2" s="1"/>
  <c r="D23" i="2"/>
  <c r="D149" i="2"/>
  <c r="D150" i="2" s="1"/>
  <c r="E23" i="2"/>
  <c r="E149" i="2"/>
  <c r="E150" i="2" s="1"/>
  <c r="H61" i="1"/>
  <c r="H59" i="4" s="1"/>
  <c r="H32" i="1"/>
  <c r="H98" i="4" s="1"/>
  <c r="H54" i="4"/>
  <c r="I35" i="4"/>
  <c r="I64" i="1"/>
  <c r="H62" i="4"/>
  <c r="F64" i="4"/>
  <c r="C64" i="4"/>
  <c r="H41" i="1"/>
  <c r="H105" i="4"/>
  <c r="H34" i="10" s="1"/>
  <c r="H35" i="10" s="1"/>
  <c r="H45" i="1"/>
  <c r="H110" i="4"/>
  <c r="H111" i="4" s="1"/>
  <c r="I27" i="1"/>
  <c r="I95" i="5" s="1"/>
  <c r="I60" i="5" s="1"/>
  <c r="I36" i="4"/>
  <c r="I93" i="4" s="1"/>
  <c r="I31" i="10" s="1"/>
  <c r="H63" i="1"/>
  <c r="G61" i="4"/>
  <c r="G64" i="4" s="1"/>
  <c r="H34" i="1"/>
  <c r="H100" i="4" s="1"/>
  <c r="H70" i="4"/>
  <c r="G66" i="1"/>
  <c r="E76" i="1"/>
  <c r="E84" i="1" s="1"/>
  <c r="E154" i="1"/>
  <c r="E155" i="1" s="1"/>
  <c r="F155" i="1" s="1"/>
  <c r="I142" i="1"/>
  <c r="I65" i="1" s="1"/>
  <c r="I63" i="4" s="1"/>
  <c r="I148" i="1"/>
  <c r="I73" i="1" s="1"/>
  <c r="I71" i="4" s="1"/>
  <c r="J142" i="1"/>
  <c r="J65" i="1" s="1"/>
  <c r="J63" i="4" s="1"/>
  <c r="J148" i="1"/>
  <c r="J73" i="1" s="1"/>
  <c r="J71" i="4" s="1"/>
  <c r="F160" i="1"/>
  <c r="F81" i="1" s="1"/>
  <c r="G161" i="1"/>
  <c r="D76" i="1"/>
  <c r="D84" i="1" s="1"/>
  <c r="D154" i="1"/>
  <c r="D155" i="1" s="1"/>
  <c r="I13" i="1"/>
  <c r="I145" i="1" s="1"/>
  <c r="I72" i="1" s="1"/>
  <c r="I70" i="4" s="1"/>
  <c r="J126" i="1"/>
  <c r="J43" i="1" s="1"/>
  <c r="J133" i="1"/>
  <c r="J56" i="1" s="1"/>
  <c r="J54" i="4" s="1"/>
  <c r="J136" i="1"/>
  <c r="J57" i="1" s="1"/>
  <c r="J55" i="4" s="1"/>
  <c r="J139" i="1"/>
  <c r="J61" i="1" s="1"/>
  <c r="J59" i="4" s="1"/>
  <c r="J121" i="1"/>
  <c r="J39" i="1" s="1"/>
  <c r="J112" i="5" s="1"/>
  <c r="J100" i="1"/>
  <c r="J11" i="1" s="1"/>
  <c r="I126" i="1"/>
  <c r="I43" i="1" s="1"/>
  <c r="I136" i="1"/>
  <c r="I57" i="1" s="1"/>
  <c r="I55" i="4" s="1"/>
  <c r="I139" i="1"/>
  <c r="I61" i="1" s="1"/>
  <c r="I59" i="4" s="1"/>
  <c r="I133" i="1"/>
  <c r="I56" i="1" s="1"/>
  <c r="I121" i="1"/>
  <c r="I39" i="1" s="1"/>
  <c r="I112" i="5" s="1"/>
  <c r="G98" i="1"/>
  <c r="F97" i="1"/>
  <c r="F8" i="1" s="1"/>
  <c r="J103" i="1"/>
  <c r="J12" i="1" s="1"/>
  <c r="J30" i="5" s="1"/>
  <c r="C15" i="1"/>
  <c r="C17" i="1" s="1"/>
  <c r="C97" i="1"/>
  <c r="C98" i="1" s="1"/>
  <c r="D15" i="1"/>
  <c r="D17" i="1" s="1"/>
  <c r="E15" i="1"/>
  <c r="E17" i="1" s="1"/>
  <c r="S34" i="2"/>
  <c r="S30" i="2"/>
  <c r="T30" i="2"/>
  <c r="T34" i="2"/>
  <c r="C23" i="2"/>
  <c r="E68" i="1"/>
  <c r="D68" i="1"/>
  <c r="J35" i="4" l="1"/>
  <c r="I25" i="6"/>
  <c r="I140" i="5"/>
  <c r="I69" i="5"/>
  <c r="I61" i="5"/>
  <c r="I32" i="10"/>
  <c r="H32" i="6"/>
  <c r="H26" i="6"/>
  <c r="I34" i="6"/>
  <c r="I35" i="6" s="1"/>
  <c r="I119" i="5"/>
  <c r="J34" i="6"/>
  <c r="J35" i="6" s="1"/>
  <c r="K35" i="6" s="1"/>
  <c r="J119" i="5"/>
  <c r="I57" i="5"/>
  <c r="J57" i="5" s="1"/>
  <c r="H35" i="6"/>
  <c r="J25" i="6"/>
  <c r="J140" i="5"/>
  <c r="J61" i="5"/>
  <c r="J69" i="5"/>
  <c r="K25" i="10"/>
  <c r="J26" i="10"/>
  <c r="H107" i="5"/>
  <c r="H66" i="1"/>
  <c r="J33" i="4"/>
  <c r="J29" i="5"/>
  <c r="J31" i="5" s="1"/>
  <c r="C79" i="4"/>
  <c r="F79" i="4" s="1"/>
  <c r="D77" i="5"/>
  <c r="I141" i="2"/>
  <c r="I142" i="5"/>
  <c r="J141" i="2"/>
  <c r="J142" i="5"/>
  <c r="H63" i="2"/>
  <c r="H141" i="2"/>
  <c r="H142" i="5"/>
  <c r="C163" i="5"/>
  <c r="E26" i="2"/>
  <c r="E167" i="2" s="1"/>
  <c r="E131" i="2"/>
  <c r="E133" i="2" s="1"/>
  <c r="E125" i="2"/>
  <c r="E137" i="2" s="1"/>
  <c r="E124" i="2"/>
  <c r="C26" i="2"/>
  <c r="C167" i="2" s="1"/>
  <c r="C131" i="2"/>
  <c r="C133" i="2" s="1"/>
  <c r="C125" i="2"/>
  <c r="C137" i="2" s="1"/>
  <c r="C124" i="2"/>
  <c r="D26" i="2"/>
  <c r="D167" i="2" s="1"/>
  <c r="D124" i="2"/>
  <c r="D131" i="2"/>
  <c r="D133" i="2" s="1"/>
  <c r="D125" i="2"/>
  <c r="D137" i="2" s="1"/>
  <c r="F30" i="2"/>
  <c r="F139" i="2" s="1"/>
  <c r="I63" i="2"/>
  <c r="I123" i="5"/>
  <c r="I126" i="5" s="1"/>
  <c r="J123" i="5"/>
  <c r="J126" i="5" s="1"/>
  <c r="J63" i="2"/>
  <c r="F102" i="2"/>
  <c r="C76" i="5" s="1"/>
  <c r="C102" i="5"/>
  <c r="C68" i="5"/>
  <c r="F68" i="5" s="1"/>
  <c r="G230" i="2"/>
  <c r="H70" i="5" s="1"/>
  <c r="H72" i="5" s="1"/>
  <c r="F229" i="2"/>
  <c r="F96" i="2" s="1"/>
  <c r="C70" i="5" s="1"/>
  <c r="H224" i="2"/>
  <c r="I68" i="5" s="1"/>
  <c r="G223" i="2"/>
  <c r="G94" i="2" s="1"/>
  <c r="H233" i="2"/>
  <c r="I77" i="5" s="1"/>
  <c r="G232" i="2"/>
  <c r="G103" i="2" s="1"/>
  <c r="G47" i="2" s="1"/>
  <c r="C77" i="5"/>
  <c r="F47" i="2"/>
  <c r="C107" i="5" s="1"/>
  <c r="H108" i="4"/>
  <c r="H126" i="4"/>
  <c r="I37" i="4"/>
  <c r="E28" i="2"/>
  <c r="I33" i="1"/>
  <c r="I99" i="4" s="1"/>
  <c r="J27" i="1"/>
  <c r="J95" i="5" s="1"/>
  <c r="J60" i="5" s="1"/>
  <c r="J36" i="4"/>
  <c r="J93" i="4" s="1"/>
  <c r="J31" i="10" s="1"/>
  <c r="J32" i="10" s="1"/>
  <c r="K32" i="10" s="1"/>
  <c r="I41" i="1"/>
  <c r="I105" i="4"/>
  <c r="I34" i="10" s="1"/>
  <c r="I35" i="10" s="1"/>
  <c r="I32" i="1"/>
  <c r="I98" i="4" s="1"/>
  <c r="I54" i="4"/>
  <c r="J64" i="1"/>
  <c r="J62" i="4" s="1"/>
  <c r="I62" i="4"/>
  <c r="J45" i="1"/>
  <c r="J110" i="4"/>
  <c r="J111" i="4" s="1"/>
  <c r="I63" i="1"/>
  <c r="I66" i="1" s="1"/>
  <c r="H61" i="4"/>
  <c r="H64" i="4" s="1"/>
  <c r="I45" i="1"/>
  <c r="I110" i="4"/>
  <c r="I111" i="4" s="1"/>
  <c r="J41" i="1"/>
  <c r="J105" i="4"/>
  <c r="J34" i="10" s="1"/>
  <c r="J35" i="10" s="1"/>
  <c r="K35" i="10" s="1"/>
  <c r="H33" i="1"/>
  <c r="H99" i="4" s="1"/>
  <c r="G155" i="1"/>
  <c r="F154" i="1"/>
  <c r="F75" i="1" s="1"/>
  <c r="J32" i="1"/>
  <c r="J98" i="4" s="1"/>
  <c r="I34" i="1"/>
  <c r="I100" i="4" s="1"/>
  <c r="J33" i="1"/>
  <c r="J99" i="4" s="1"/>
  <c r="H161" i="1"/>
  <c r="G160" i="1"/>
  <c r="G81" i="1" s="1"/>
  <c r="G79" i="4" s="1"/>
  <c r="H98" i="1"/>
  <c r="G97" i="1"/>
  <c r="G8" i="1" s="1"/>
  <c r="F15" i="1"/>
  <c r="F17" i="1" s="1"/>
  <c r="F7" i="1"/>
  <c r="C29" i="4" s="1"/>
  <c r="C30" i="4" s="1"/>
  <c r="C39" i="4" s="1"/>
  <c r="J13" i="1"/>
  <c r="J145" i="1" s="1"/>
  <c r="J72" i="1" s="1"/>
  <c r="J70" i="4" s="1"/>
  <c r="D19" i="1"/>
  <c r="D25" i="1" s="1"/>
  <c r="D37" i="1" s="1"/>
  <c r="D47" i="1" s="1"/>
  <c r="D109" i="1"/>
  <c r="E19" i="1"/>
  <c r="E109" i="1"/>
  <c r="C19" i="1"/>
  <c r="C109" i="1"/>
  <c r="E25" i="1"/>
  <c r="E37" i="1" s="1"/>
  <c r="E47" i="1" s="1"/>
  <c r="E21" i="1"/>
  <c r="I107" i="5" l="1"/>
  <c r="L35" i="6"/>
  <c r="L35" i="10"/>
  <c r="K34" i="10"/>
  <c r="L32" i="10"/>
  <c r="K31" i="10"/>
  <c r="L25" i="10"/>
  <c r="K28" i="10"/>
  <c r="K47" i="10" s="1"/>
  <c r="I32" i="6"/>
  <c r="I26" i="6"/>
  <c r="K25" i="6"/>
  <c r="K34" i="6" s="1"/>
  <c r="J26" i="6"/>
  <c r="J32" i="6"/>
  <c r="K32" i="6" s="1"/>
  <c r="C73" i="4"/>
  <c r="F73" i="4" s="1"/>
  <c r="D70" i="5"/>
  <c r="F70" i="5" s="1"/>
  <c r="G106" i="5" s="1"/>
  <c r="D138" i="2"/>
  <c r="D128" i="2"/>
  <c r="C138" i="2"/>
  <c r="C128" i="2"/>
  <c r="E138" i="2"/>
  <c r="E128" i="2"/>
  <c r="C28" i="2"/>
  <c r="C30" i="2" s="1"/>
  <c r="C134" i="2" s="1"/>
  <c r="F122" i="2"/>
  <c r="F141" i="2" s="1"/>
  <c r="G102" i="2"/>
  <c r="G105" i="2" s="1"/>
  <c r="C122" i="2"/>
  <c r="D28" i="2"/>
  <c r="D34" i="2" s="1"/>
  <c r="D49" i="2" s="1"/>
  <c r="F199" i="2"/>
  <c r="F61" i="2" s="1"/>
  <c r="F63" i="2" s="1"/>
  <c r="F105" i="2"/>
  <c r="H106" i="5"/>
  <c r="C79" i="5"/>
  <c r="F77" i="5"/>
  <c r="I233" i="2"/>
  <c r="J77" i="5" s="1"/>
  <c r="H232" i="2"/>
  <c r="H103" i="2" s="1"/>
  <c r="H47" i="2" s="1"/>
  <c r="I224" i="2"/>
  <c r="J68" i="5" s="1"/>
  <c r="H223" i="2"/>
  <c r="H94" i="2" s="1"/>
  <c r="F98" i="2"/>
  <c r="G229" i="2"/>
  <c r="G96" i="2" s="1"/>
  <c r="G46" i="2" s="1"/>
  <c r="G48" i="2" s="1"/>
  <c r="G49" i="2" s="1"/>
  <c r="G67" i="2" s="1"/>
  <c r="H230" i="2"/>
  <c r="I70" i="5" s="1"/>
  <c r="I106" i="5" s="1"/>
  <c r="F46" i="2"/>
  <c r="C72" i="5"/>
  <c r="J37" i="4"/>
  <c r="C42" i="4"/>
  <c r="C123" i="4"/>
  <c r="I108" i="4"/>
  <c r="I126" i="4"/>
  <c r="J108" i="4"/>
  <c r="J126" i="4"/>
  <c r="H102" i="2"/>
  <c r="E30" i="2"/>
  <c r="E34" i="2"/>
  <c r="E49" i="2" s="1"/>
  <c r="J63" i="1"/>
  <c r="I61" i="4"/>
  <c r="I64" i="4" s="1"/>
  <c r="H155" i="1"/>
  <c r="G154" i="1"/>
  <c r="G75" i="1" s="1"/>
  <c r="G73" i="4" s="1"/>
  <c r="I161" i="1"/>
  <c r="H160" i="1"/>
  <c r="H81" i="1" s="1"/>
  <c r="H79" i="4" s="1"/>
  <c r="J34" i="1"/>
  <c r="J100" i="4" s="1"/>
  <c r="F157" i="1"/>
  <c r="F80" i="1" s="1"/>
  <c r="C78" i="4" s="1"/>
  <c r="F78" i="4" s="1"/>
  <c r="F151" i="1"/>
  <c r="F74" i="1" s="1"/>
  <c r="C72" i="4" s="1"/>
  <c r="F72" i="4" s="1"/>
  <c r="F74" i="4" s="1"/>
  <c r="C21" i="1"/>
  <c r="C25" i="1"/>
  <c r="C37" i="1" s="1"/>
  <c r="C47" i="1" s="1"/>
  <c r="F108" i="1"/>
  <c r="F18" i="1" s="1"/>
  <c r="D21" i="1"/>
  <c r="G15" i="1"/>
  <c r="G17" i="1" s="1"/>
  <c r="G7" i="1"/>
  <c r="I98" i="1"/>
  <c r="H97" i="1"/>
  <c r="H8" i="1" s="1"/>
  <c r="G29" i="4" l="1"/>
  <c r="G30" i="4" s="1"/>
  <c r="G39" i="4" s="1"/>
  <c r="G28" i="10" s="1"/>
  <c r="G19" i="5"/>
  <c r="M35" i="6"/>
  <c r="L28" i="10"/>
  <c r="M25" i="10"/>
  <c r="M32" i="10"/>
  <c r="L31" i="10"/>
  <c r="M35" i="10"/>
  <c r="L34" i="10"/>
  <c r="K31" i="6"/>
  <c r="L32" i="6"/>
  <c r="L25" i="6"/>
  <c r="L34" i="6" s="1"/>
  <c r="G123" i="4"/>
  <c r="G137" i="4"/>
  <c r="F72" i="5"/>
  <c r="C200" i="2"/>
  <c r="F109" i="2"/>
  <c r="F134" i="2" s="1"/>
  <c r="C123" i="5"/>
  <c r="C126" i="5" s="1"/>
  <c r="C34" i="2"/>
  <c r="C49" i="2" s="1"/>
  <c r="C139" i="2"/>
  <c r="D30" i="2"/>
  <c r="D122" i="2" s="1"/>
  <c r="E134" i="2"/>
  <c r="E139" i="2"/>
  <c r="F107" i="2"/>
  <c r="E200" i="2"/>
  <c r="E122" i="2"/>
  <c r="E141" i="2" s="1"/>
  <c r="I72" i="5"/>
  <c r="J107" i="5"/>
  <c r="F48" i="2"/>
  <c r="F49" i="2" s="1"/>
  <c r="F67" i="2" s="1"/>
  <c r="F69" i="2" s="1"/>
  <c r="G68" i="2" s="1"/>
  <c r="G69" i="2" s="1"/>
  <c r="G75" i="2" s="1"/>
  <c r="C106" i="5"/>
  <c r="C108" i="5" s="1"/>
  <c r="C109" i="5" s="1"/>
  <c r="C130" i="5" s="1"/>
  <c r="C132" i="5" s="1"/>
  <c r="G107" i="5"/>
  <c r="C81" i="5"/>
  <c r="I230" i="2"/>
  <c r="J70" i="5" s="1"/>
  <c r="J106" i="5" s="1"/>
  <c r="H229" i="2"/>
  <c r="H96" i="2" s="1"/>
  <c r="H98" i="2" s="1"/>
  <c r="G98" i="2"/>
  <c r="G107" i="2" s="1"/>
  <c r="J224" i="2"/>
  <c r="J223" i="2" s="1"/>
  <c r="J94" i="2" s="1"/>
  <c r="I223" i="2"/>
  <c r="I94" i="2" s="1"/>
  <c r="J233" i="2"/>
  <c r="J232" i="2" s="1"/>
  <c r="J103" i="2" s="1"/>
  <c r="I232" i="2"/>
  <c r="I103" i="2" s="1"/>
  <c r="I47" i="2" s="1"/>
  <c r="I102" i="2"/>
  <c r="H105" i="2"/>
  <c r="G42" i="4"/>
  <c r="G43" i="4" s="1"/>
  <c r="G96" i="4" s="1"/>
  <c r="F118" i="1"/>
  <c r="F30" i="1" s="1"/>
  <c r="C43" i="4"/>
  <c r="C44" i="4" s="1"/>
  <c r="J61" i="4"/>
  <c r="J64" i="4" s="1"/>
  <c r="J66" i="1"/>
  <c r="C74" i="4"/>
  <c r="F35" i="1"/>
  <c r="F76" i="1"/>
  <c r="J161" i="1"/>
  <c r="J160" i="1" s="1"/>
  <c r="J81" i="1" s="1"/>
  <c r="J79" i="4" s="1"/>
  <c r="I160" i="1"/>
  <c r="I81" i="1" s="1"/>
  <c r="I79" i="4" s="1"/>
  <c r="G157" i="1"/>
  <c r="G80" i="1" s="1"/>
  <c r="G78" i="4" s="1"/>
  <c r="G151" i="1"/>
  <c r="G74" i="1" s="1"/>
  <c r="G72" i="4" s="1"/>
  <c r="G74" i="4" s="1"/>
  <c r="I155" i="1"/>
  <c r="H154" i="1"/>
  <c r="H75" i="1" s="1"/>
  <c r="H73" i="4" s="1"/>
  <c r="J98" i="1"/>
  <c r="J97" i="1" s="1"/>
  <c r="J8" i="1" s="1"/>
  <c r="I97" i="1"/>
  <c r="I8" i="1" s="1"/>
  <c r="G108" i="1"/>
  <c r="G18" i="1" s="1"/>
  <c r="G118" i="1" s="1"/>
  <c r="G30" i="1" s="1"/>
  <c r="F19" i="1"/>
  <c r="F86" i="1" s="1"/>
  <c r="D83" i="5" s="1"/>
  <c r="H15" i="1"/>
  <c r="H17" i="1" s="1"/>
  <c r="H7" i="1"/>
  <c r="G55" i="5" l="1"/>
  <c r="G20" i="5"/>
  <c r="G47" i="10"/>
  <c r="G29" i="10"/>
  <c r="M32" i="6"/>
  <c r="L31" i="6"/>
  <c r="H29" i="4"/>
  <c r="H30" i="4" s="1"/>
  <c r="H39" i="4" s="1"/>
  <c r="H42" i="4" s="1"/>
  <c r="H43" i="4" s="1"/>
  <c r="H96" i="4" s="1"/>
  <c r="H19" i="5"/>
  <c r="M25" i="6"/>
  <c r="N35" i="10"/>
  <c r="M34" i="10"/>
  <c r="N32" i="10"/>
  <c r="M31" i="10"/>
  <c r="M28" i="10"/>
  <c r="N25" i="10"/>
  <c r="L47" i="10"/>
  <c r="N35" i="6"/>
  <c r="G109" i="2"/>
  <c r="G134" i="2" s="1"/>
  <c r="F130" i="2"/>
  <c r="F133" i="2" s="1"/>
  <c r="C83" i="5"/>
  <c r="F111" i="2"/>
  <c r="C85" i="5"/>
  <c r="C154" i="5"/>
  <c r="C157" i="5" s="1"/>
  <c r="C158" i="5"/>
  <c r="G78" i="2"/>
  <c r="G90" i="2" s="1"/>
  <c r="G127" i="2"/>
  <c r="G128" i="2" s="1"/>
  <c r="D200" i="2"/>
  <c r="D139" i="2"/>
  <c r="D134" i="2"/>
  <c r="F83" i="5"/>
  <c r="H109" i="2"/>
  <c r="G130" i="2"/>
  <c r="G133" i="2" s="1"/>
  <c r="G111" i="2"/>
  <c r="H68" i="2"/>
  <c r="J72" i="5"/>
  <c r="F75" i="2"/>
  <c r="F127" i="2" s="1"/>
  <c r="F128" i="2" s="1"/>
  <c r="J47" i="2"/>
  <c r="H107" i="2"/>
  <c r="J230" i="2"/>
  <c r="J229" i="2" s="1"/>
  <c r="J96" i="2" s="1"/>
  <c r="I229" i="2"/>
  <c r="I96" i="2" s="1"/>
  <c r="I98" i="2" s="1"/>
  <c r="H46" i="2"/>
  <c r="H48" i="2" s="1"/>
  <c r="H49" i="2" s="1"/>
  <c r="H67" i="2" s="1"/>
  <c r="J102" i="2"/>
  <c r="J105" i="2" s="1"/>
  <c r="I105" i="2"/>
  <c r="G44" i="4"/>
  <c r="F79" i="1"/>
  <c r="C96" i="4"/>
  <c r="G91" i="4"/>
  <c r="C46" i="4"/>
  <c r="C91" i="4"/>
  <c r="F36" i="1"/>
  <c r="C101" i="4"/>
  <c r="C102" i="4" s="1"/>
  <c r="C83" i="4"/>
  <c r="F83" i="4" s="1"/>
  <c r="F88" i="1"/>
  <c r="G35" i="1"/>
  <c r="G76" i="1"/>
  <c r="J155" i="1"/>
  <c r="J154" i="1" s="1"/>
  <c r="J75" i="1" s="1"/>
  <c r="J73" i="4" s="1"/>
  <c r="I154" i="1"/>
  <c r="I75" i="1" s="1"/>
  <c r="I73" i="4" s="1"/>
  <c r="H157" i="1"/>
  <c r="H80" i="1" s="1"/>
  <c r="H78" i="4" s="1"/>
  <c r="H151" i="1"/>
  <c r="H74" i="1" s="1"/>
  <c r="H72" i="4" s="1"/>
  <c r="H74" i="4" s="1"/>
  <c r="G19" i="1"/>
  <c r="G86" i="1" s="1"/>
  <c r="F21" i="1"/>
  <c r="F25" i="1"/>
  <c r="H108" i="1"/>
  <c r="H18" i="1" s="1"/>
  <c r="H118" i="1" s="1"/>
  <c r="H30" i="1" s="1"/>
  <c r="I15" i="1"/>
  <c r="I17" i="1" s="1"/>
  <c r="I7" i="1"/>
  <c r="J15" i="1"/>
  <c r="J17" i="1" s="1"/>
  <c r="J7" i="1"/>
  <c r="G160" i="5" l="1"/>
  <c r="G33" i="5"/>
  <c r="G105" i="5"/>
  <c r="G108" i="5" s="1"/>
  <c r="G62" i="5"/>
  <c r="H123" i="4"/>
  <c r="M47" i="10"/>
  <c r="N25" i="6"/>
  <c r="N34" i="6" s="1"/>
  <c r="J29" i="4"/>
  <c r="J30" i="4" s="1"/>
  <c r="J39" i="4" s="1"/>
  <c r="J42" i="4" s="1"/>
  <c r="J43" i="4" s="1"/>
  <c r="J96" i="4" s="1"/>
  <c r="J19" i="5"/>
  <c r="H55" i="5"/>
  <c r="H20" i="5"/>
  <c r="O32" i="10"/>
  <c r="N31" i="10"/>
  <c r="O35" i="10"/>
  <c r="N34" i="10"/>
  <c r="O35" i="6"/>
  <c r="H28" i="10"/>
  <c r="H137" i="4"/>
  <c r="O25" i="10"/>
  <c r="N28" i="10"/>
  <c r="I29" i="4"/>
  <c r="I30" i="4" s="1"/>
  <c r="I39" i="4" s="1"/>
  <c r="I42" i="4" s="1"/>
  <c r="I43" i="4" s="1"/>
  <c r="I96" i="4" s="1"/>
  <c r="I19" i="5"/>
  <c r="M34" i="6"/>
  <c r="M31" i="6"/>
  <c r="N32" i="6"/>
  <c r="G46" i="4"/>
  <c r="G142" i="4" s="1"/>
  <c r="G113" i="2"/>
  <c r="G79" i="1"/>
  <c r="G82" i="1" s="1"/>
  <c r="G84" i="1" s="1"/>
  <c r="D76" i="5"/>
  <c r="F76" i="5" s="1"/>
  <c r="C49" i="5"/>
  <c r="F6" i="2"/>
  <c r="F85" i="5"/>
  <c r="H111" i="2"/>
  <c r="H134" i="2"/>
  <c r="H69" i="2"/>
  <c r="H75" i="2" s="1"/>
  <c r="I109" i="2"/>
  <c r="I134" i="2" s="1"/>
  <c r="H130" i="2"/>
  <c r="H133" i="2" s="1"/>
  <c r="F78" i="2"/>
  <c r="F90" i="2" s="1"/>
  <c r="F113" i="2" s="1"/>
  <c r="I107" i="2"/>
  <c r="J46" i="2"/>
  <c r="J48" i="2" s="1"/>
  <c r="J49" i="2" s="1"/>
  <c r="J67" i="2" s="1"/>
  <c r="I46" i="2"/>
  <c r="I48" i="2" s="1"/>
  <c r="I49" i="2" s="1"/>
  <c r="I67" i="2" s="1"/>
  <c r="J98" i="2"/>
  <c r="J107" i="2" s="1"/>
  <c r="J123" i="4"/>
  <c r="F37" i="1"/>
  <c r="F47" i="1" s="1"/>
  <c r="F49" i="1" s="1"/>
  <c r="F55" i="1" s="1"/>
  <c r="E49" i="5" s="1"/>
  <c r="H44" i="4"/>
  <c r="H91" i="4" s="1"/>
  <c r="C85" i="4"/>
  <c r="F85" i="4"/>
  <c r="C8" i="4" s="1"/>
  <c r="G36" i="1"/>
  <c r="G101" i="4"/>
  <c r="G102" i="4" s="1"/>
  <c r="C103" i="4"/>
  <c r="F82" i="1"/>
  <c r="F84" i="1" s="1"/>
  <c r="C77" i="4"/>
  <c r="F77" i="4" s="1"/>
  <c r="G88" i="1"/>
  <c r="I157" i="1"/>
  <c r="I80" i="1" s="1"/>
  <c r="I78" i="4" s="1"/>
  <c r="I151" i="1"/>
  <c r="I74" i="1" s="1"/>
  <c r="I72" i="4" s="1"/>
  <c r="I74" i="4" s="1"/>
  <c r="H35" i="1"/>
  <c r="H76" i="1"/>
  <c r="J157" i="1"/>
  <c r="J80" i="1" s="1"/>
  <c r="J78" i="4" s="1"/>
  <c r="J151" i="1"/>
  <c r="J74" i="1" s="1"/>
  <c r="J72" i="4" s="1"/>
  <c r="J74" i="4" s="1"/>
  <c r="G25" i="1"/>
  <c r="G21" i="1"/>
  <c r="H19" i="1"/>
  <c r="H86" i="1" s="1"/>
  <c r="J108" i="1"/>
  <c r="J18" i="1" s="1"/>
  <c r="J118" i="1" s="1"/>
  <c r="J30" i="1" s="1"/>
  <c r="I108" i="1"/>
  <c r="I18" i="1" s="1"/>
  <c r="I118" i="1" s="1"/>
  <c r="I30" i="1" s="1"/>
  <c r="G37" i="1" l="1"/>
  <c r="G47" i="1" s="1"/>
  <c r="I123" i="4"/>
  <c r="G37" i="6"/>
  <c r="G38" i="6" s="1"/>
  <c r="G37" i="5"/>
  <c r="G28" i="6"/>
  <c r="G148" i="5"/>
  <c r="G162" i="5" s="1"/>
  <c r="G149" i="5"/>
  <c r="G155" i="5"/>
  <c r="G161" i="5"/>
  <c r="G103" i="4"/>
  <c r="G37" i="10"/>
  <c r="P35" i="6"/>
  <c r="P35" i="10"/>
  <c r="O34" i="10"/>
  <c r="I55" i="5"/>
  <c r="I62" i="5" s="1"/>
  <c r="I20" i="5"/>
  <c r="I28" i="10"/>
  <c r="I137" i="4"/>
  <c r="O25" i="6"/>
  <c r="O34" i="6" s="1"/>
  <c r="O32" i="6"/>
  <c r="N31" i="6"/>
  <c r="O31" i="10"/>
  <c r="P32" i="10"/>
  <c r="H160" i="5"/>
  <c r="H33" i="5"/>
  <c r="H62" i="5"/>
  <c r="H105" i="5"/>
  <c r="H108" i="5" s="1"/>
  <c r="J55" i="5"/>
  <c r="J20" i="5"/>
  <c r="N47" i="10"/>
  <c r="J28" i="10"/>
  <c r="J137" i="4"/>
  <c r="O28" i="10"/>
  <c r="P25" i="10"/>
  <c r="H47" i="10"/>
  <c r="H29" i="10"/>
  <c r="C7" i="4"/>
  <c r="G143" i="4"/>
  <c r="H46" i="4"/>
  <c r="H142" i="4" s="1"/>
  <c r="H143" i="4" s="1"/>
  <c r="G48" i="1"/>
  <c r="G49" i="1"/>
  <c r="H48" i="1" s="1"/>
  <c r="F79" i="5"/>
  <c r="F81" i="5" s="1"/>
  <c r="F49" i="5"/>
  <c r="H79" i="1"/>
  <c r="H82" i="1" s="1"/>
  <c r="H84" i="1" s="1"/>
  <c r="I111" i="2"/>
  <c r="C52" i="5"/>
  <c r="C64" i="5" s="1"/>
  <c r="C87" i="5" s="1"/>
  <c r="H78" i="2"/>
  <c r="H90" i="2" s="1"/>
  <c r="H113" i="2" s="1"/>
  <c r="H127" i="2"/>
  <c r="H128" i="2" s="1"/>
  <c r="J142" i="2"/>
  <c r="G142" i="2"/>
  <c r="E142" i="2"/>
  <c r="I142" i="2"/>
  <c r="F142" i="2"/>
  <c r="H142" i="2"/>
  <c r="I68" i="2"/>
  <c r="I69" i="2" s="1"/>
  <c r="G6" i="5"/>
  <c r="E18" i="7" s="1"/>
  <c r="F18" i="7" s="1"/>
  <c r="C17" i="4"/>
  <c r="J109" i="2"/>
  <c r="J134" i="2" s="1"/>
  <c r="I130" i="2"/>
  <c r="I133" i="2" s="1"/>
  <c r="C116" i="4"/>
  <c r="C118" i="4" s="1"/>
  <c r="C125" i="4"/>
  <c r="C128" i="4" s="1"/>
  <c r="G125" i="4"/>
  <c r="G128" i="4" s="1"/>
  <c r="G130" i="4" s="1"/>
  <c r="G112" i="4" s="1"/>
  <c r="J44" i="4"/>
  <c r="G77" i="4"/>
  <c r="C81" i="4"/>
  <c r="H36" i="1"/>
  <c r="H101" i="4"/>
  <c r="H102" i="4" s="1"/>
  <c r="I44" i="4"/>
  <c r="F58" i="1"/>
  <c r="F68" i="1" s="1"/>
  <c r="F90" i="1" s="1"/>
  <c r="C53" i="4"/>
  <c r="F53" i="4" s="1"/>
  <c r="C18" i="4" s="1"/>
  <c r="I19" i="1"/>
  <c r="I86" i="1" s="1"/>
  <c r="H88" i="1"/>
  <c r="J35" i="1"/>
  <c r="J76" i="1"/>
  <c r="I35" i="1"/>
  <c r="I76" i="1"/>
  <c r="H21" i="1"/>
  <c r="H25" i="1"/>
  <c r="H37" i="1" s="1"/>
  <c r="H47" i="1" s="1"/>
  <c r="J19" i="1"/>
  <c r="J21" i="1" s="1"/>
  <c r="G38" i="10" l="1"/>
  <c r="G40" i="10"/>
  <c r="G47" i="6"/>
  <c r="G40" i="6"/>
  <c r="G29" i="6"/>
  <c r="G38" i="5"/>
  <c r="G102" i="5" s="1"/>
  <c r="G76" i="5" s="1"/>
  <c r="G79" i="5" s="1"/>
  <c r="G81" i="5" s="1"/>
  <c r="G55" i="1"/>
  <c r="G58" i="1" s="1"/>
  <c r="G68" i="1" s="1"/>
  <c r="G90" i="1" s="1"/>
  <c r="P31" i="10"/>
  <c r="O31" i="6"/>
  <c r="P32" i="6"/>
  <c r="J47" i="10"/>
  <c r="J29" i="10"/>
  <c r="J105" i="5"/>
  <c r="J108" i="5" s="1"/>
  <c r="J62" i="5"/>
  <c r="P28" i="10"/>
  <c r="I29" i="10"/>
  <c r="I47" i="10"/>
  <c r="I40" i="10"/>
  <c r="O47" i="10"/>
  <c r="I160" i="5"/>
  <c r="I33" i="5"/>
  <c r="P34" i="10"/>
  <c r="H28" i="6"/>
  <c r="H37" i="5"/>
  <c r="H149" i="5"/>
  <c r="H161" i="5"/>
  <c r="H148" i="5"/>
  <c r="H162" i="5" s="1"/>
  <c r="H155" i="5"/>
  <c r="H103" i="4"/>
  <c r="H125" i="4" s="1"/>
  <c r="H128" i="4" s="1"/>
  <c r="H130" i="4" s="1"/>
  <c r="H112" i="4" s="1"/>
  <c r="H114" i="4" s="1"/>
  <c r="H116" i="4" s="1"/>
  <c r="H37" i="10"/>
  <c r="P25" i="6"/>
  <c r="J160" i="5"/>
  <c r="J33" i="5"/>
  <c r="I105" i="5"/>
  <c r="I108" i="5" s="1"/>
  <c r="I37" i="6" s="1"/>
  <c r="I38" i="6" s="1"/>
  <c r="H37" i="6"/>
  <c r="H38" i="6" s="1"/>
  <c r="G7" i="5"/>
  <c r="F10" i="8"/>
  <c r="G18" i="7"/>
  <c r="C21" i="7"/>
  <c r="C26" i="7" s="1"/>
  <c r="J91" i="4"/>
  <c r="F52" i="5"/>
  <c r="F64" i="5" s="1"/>
  <c r="F87" i="5" s="1"/>
  <c r="G131" i="5"/>
  <c r="C22" i="4"/>
  <c r="I21" i="1"/>
  <c r="H49" i="1"/>
  <c r="H55" i="1" s="1"/>
  <c r="H58" i="1" s="1"/>
  <c r="H68" i="1" s="1"/>
  <c r="H90" i="1" s="1"/>
  <c r="I79" i="1"/>
  <c r="G11" i="5"/>
  <c r="C165" i="5"/>
  <c r="J46" i="4"/>
  <c r="J142" i="4" s="1"/>
  <c r="J143" i="4" s="1"/>
  <c r="J130" i="2"/>
  <c r="J133" i="2" s="1"/>
  <c r="J111" i="2"/>
  <c r="J68" i="2"/>
  <c r="J69" i="2" s="1"/>
  <c r="J75" i="2" s="1"/>
  <c r="I75" i="2"/>
  <c r="G114" i="4"/>
  <c r="G116" i="4" s="1"/>
  <c r="G83" i="4"/>
  <c r="J86" i="1"/>
  <c r="J88" i="1" s="1"/>
  <c r="J12" i="4"/>
  <c r="J16" i="4" s="1"/>
  <c r="C56" i="4"/>
  <c r="C66" i="4" s="1"/>
  <c r="F81" i="4"/>
  <c r="G81" i="4"/>
  <c r="I36" i="1"/>
  <c r="I101" i="4"/>
  <c r="I102" i="4" s="1"/>
  <c r="I37" i="10" s="1"/>
  <c r="I38" i="10" s="1"/>
  <c r="J36" i="1"/>
  <c r="J101" i="4"/>
  <c r="J102" i="4" s="1"/>
  <c r="J37" i="10" s="1"/>
  <c r="J38" i="10" s="1"/>
  <c r="I91" i="4"/>
  <c r="I46" i="4"/>
  <c r="I142" i="4" s="1"/>
  <c r="I143" i="4" s="1"/>
  <c r="I25" i="1"/>
  <c r="I48" i="1"/>
  <c r="I88" i="1"/>
  <c r="J25" i="1"/>
  <c r="G39" i="5" l="1"/>
  <c r="D7" i="8"/>
  <c r="F7" i="8" s="1"/>
  <c r="D6" i="8"/>
  <c r="F6" i="8" s="1"/>
  <c r="F8" i="8" s="1"/>
  <c r="F11" i="8" s="1"/>
  <c r="F12" i="8" s="1"/>
  <c r="F14" i="8" s="1"/>
  <c r="F15" i="8" s="1"/>
  <c r="P47" i="10"/>
  <c r="I7" i="10" s="1"/>
  <c r="I9" i="10" s="1"/>
  <c r="H38" i="10"/>
  <c r="K38" i="10" s="1"/>
  <c r="H40" i="10"/>
  <c r="J37" i="6"/>
  <c r="J38" i="6" s="1"/>
  <c r="H38" i="5"/>
  <c r="H102" i="5" s="1"/>
  <c r="H76" i="5" s="1"/>
  <c r="H39" i="5"/>
  <c r="J40" i="10"/>
  <c r="P34" i="6"/>
  <c r="K38" i="6"/>
  <c r="H40" i="6"/>
  <c r="H29" i="6"/>
  <c r="H47" i="6"/>
  <c r="P31" i="6"/>
  <c r="I28" i="6"/>
  <c r="I37" i="5"/>
  <c r="I148" i="5"/>
  <c r="I162" i="5" s="1"/>
  <c r="I161" i="5"/>
  <c r="I155" i="5"/>
  <c r="I149" i="5"/>
  <c r="J28" i="6"/>
  <c r="J155" i="5"/>
  <c r="J148" i="5"/>
  <c r="J162" i="5" s="1"/>
  <c r="J161" i="5"/>
  <c r="J37" i="5"/>
  <c r="J149" i="5"/>
  <c r="C4" i="6"/>
  <c r="G136" i="4"/>
  <c r="G139" i="4" s="1"/>
  <c r="G140" i="4"/>
  <c r="H144" i="4"/>
  <c r="G144" i="4"/>
  <c r="J144" i="4"/>
  <c r="I144" i="4"/>
  <c r="J103" i="4"/>
  <c r="J125" i="4" s="1"/>
  <c r="J128" i="4" s="1"/>
  <c r="J130" i="4" s="1"/>
  <c r="J112" i="4" s="1"/>
  <c r="J114" i="4" s="1"/>
  <c r="J116" i="4" s="1"/>
  <c r="J79" i="1"/>
  <c r="J82" i="1" s="1"/>
  <c r="J84" i="1" s="1"/>
  <c r="I82" i="1"/>
  <c r="I84" i="1" s="1"/>
  <c r="H79" i="5"/>
  <c r="H81" i="5" s="1"/>
  <c r="G166" i="5"/>
  <c r="C166" i="5"/>
  <c r="H166" i="5"/>
  <c r="J78" i="2"/>
  <c r="J90" i="2" s="1"/>
  <c r="J113" i="2" s="1"/>
  <c r="J127" i="2"/>
  <c r="J128" i="2" s="1"/>
  <c r="I78" i="2"/>
  <c r="I90" i="2" s="1"/>
  <c r="I113" i="2" s="1"/>
  <c r="I127" i="2"/>
  <c r="I128" i="2" s="1"/>
  <c r="I103" i="4"/>
  <c r="H83" i="4"/>
  <c r="G85" i="4"/>
  <c r="G145" i="4" s="1"/>
  <c r="I37" i="1"/>
  <c r="I47" i="1" s="1"/>
  <c r="I49" i="1" s="1"/>
  <c r="J48" i="1" s="1"/>
  <c r="H77" i="4"/>
  <c r="J37" i="1"/>
  <c r="J47" i="1" s="1"/>
  <c r="G117" i="4"/>
  <c r="G118" i="4" s="1"/>
  <c r="F56" i="4"/>
  <c r="F66" i="4" s="1"/>
  <c r="F87" i="4" s="1"/>
  <c r="I166" i="5" l="1"/>
  <c r="G42" i="5"/>
  <c r="G91" i="5"/>
  <c r="G109" i="5" s="1"/>
  <c r="G130" i="5" s="1"/>
  <c r="G132" i="5" s="1"/>
  <c r="J38" i="5"/>
  <c r="J102" i="5" s="1"/>
  <c r="J76" i="5" s="1"/>
  <c r="J79" i="5" s="1"/>
  <c r="J81" i="5" s="1"/>
  <c r="J166" i="5"/>
  <c r="I38" i="5"/>
  <c r="I102" i="5" s="1"/>
  <c r="I76" i="5" s="1"/>
  <c r="L38" i="10"/>
  <c r="K37" i="10"/>
  <c r="K40" i="10" s="1"/>
  <c r="L38" i="6"/>
  <c r="K37" i="6"/>
  <c r="J40" i="6"/>
  <c r="J29" i="6"/>
  <c r="K29" i="6" s="1"/>
  <c r="J47" i="6"/>
  <c r="H42" i="5"/>
  <c r="H91" i="5"/>
  <c r="H109" i="5" s="1"/>
  <c r="H130" i="5" s="1"/>
  <c r="J49" i="1"/>
  <c r="J55" i="1" s="1"/>
  <c r="J58" i="1" s="1"/>
  <c r="J68" i="1" s="1"/>
  <c r="J90" i="1" s="1"/>
  <c r="I47" i="6"/>
  <c r="I29" i="6"/>
  <c r="I40" i="6"/>
  <c r="H136" i="4"/>
  <c r="H139" i="4" s="1"/>
  <c r="H140" i="4"/>
  <c r="L43" i="6"/>
  <c r="K43" i="6"/>
  <c r="J43" i="6"/>
  <c r="I43" i="6"/>
  <c r="H43" i="6"/>
  <c r="H45" i="6" s="1"/>
  <c r="P43" i="6"/>
  <c r="G43" i="6"/>
  <c r="G45" i="6" s="1"/>
  <c r="O43" i="6"/>
  <c r="M43" i="6"/>
  <c r="N43" i="6"/>
  <c r="P43" i="10"/>
  <c r="N43" i="10"/>
  <c r="O43" i="10"/>
  <c r="M43" i="10"/>
  <c r="I43" i="10"/>
  <c r="I45" i="10" s="1"/>
  <c r="L43" i="10"/>
  <c r="K43" i="10"/>
  <c r="J43" i="10"/>
  <c r="J45" i="10" s="1"/>
  <c r="H43" i="10"/>
  <c r="H45" i="10" s="1"/>
  <c r="G43" i="10"/>
  <c r="G45" i="10" s="1"/>
  <c r="I55" i="1"/>
  <c r="I58" i="1" s="1"/>
  <c r="I68" i="1" s="1"/>
  <c r="I90" i="1" s="1"/>
  <c r="I79" i="5"/>
  <c r="I81" i="5" s="1"/>
  <c r="I125" i="4"/>
  <c r="I128" i="4" s="1"/>
  <c r="I130" i="4" s="1"/>
  <c r="I112" i="4" s="1"/>
  <c r="I114" i="4" s="1"/>
  <c r="I116" i="4" s="1"/>
  <c r="H85" i="4"/>
  <c r="H145" i="4" s="1"/>
  <c r="G53" i="4"/>
  <c r="H117" i="4"/>
  <c r="H118" i="4" s="1"/>
  <c r="I77" i="4"/>
  <c r="H81" i="4"/>
  <c r="I39" i="5" l="1"/>
  <c r="J39" i="5"/>
  <c r="G49" i="5"/>
  <c r="H131" i="5"/>
  <c r="H132" i="5" s="1"/>
  <c r="G163" i="5"/>
  <c r="G143" i="5"/>
  <c r="G83" i="5"/>
  <c r="H163" i="5"/>
  <c r="H143" i="5"/>
  <c r="H83" i="5"/>
  <c r="H158" i="5" s="1"/>
  <c r="K45" i="10"/>
  <c r="I45" i="6"/>
  <c r="J45" i="6"/>
  <c r="M38" i="10"/>
  <c r="L37" i="10"/>
  <c r="L40" i="10" s="1"/>
  <c r="L45" i="10" s="1"/>
  <c r="M38" i="6"/>
  <c r="L37" i="6"/>
  <c r="J91" i="5"/>
  <c r="J109" i="5" s="1"/>
  <c r="J130" i="5" s="1"/>
  <c r="J42" i="5"/>
  <c r="K28" i="6"/>
  <c r="K47" i="6" s="1"/>
  <c r="L29" i="6"/>
  <c r="I91" i="5"/>
  <c r="I109" i="5" s="1"/>
  <c r="I130" i="5" s="1"/>
  <c r="I42" i="5"/>
  <c r="G56" i="4"/>
  <c r="G66" i="4" s="1"/>
  <c r="G87" i="4" s="1"/>
  <c r="G133" i="4"/>
  <c r="G134" i="4" s="1"/>
  <c r="I15" i="10"/>
  <c r="I12" i="10"/>
  <c r="I83" i="4"/>
  <c r="J77" i="4"/>
  <c r="J81" i="4" s="1"/>
  <c r="I81" i="4"/>
  <c r="H53" i="4"/>
  <c r="I117" i="4"/>
  <c r="I118" i="4" s="1"/>
  <c r="I131" i="5" l="1"/>
  <c r="H49" i="5"/>
  <c r="G145" i="5"/>
  <c r="G146" i="5" s="1"/>
  <c r="G165" i="5"/>
  <c r="G52" i="5"/>
  <c r="G64" i="5" s="1"/>
  <c r="G151" i="5"/>
  <c r="G152" i="5" s="1"/>
  <c r="I132" i="5"/>
  <c r="G85" i="5"/>
  <c r="G154" i="5"/>
  <c r="G157" i="5" s="1"/>
  <c r="G158" i="5"/>
  <c r="I49" i="5"/>
  <c r="J131" i="5"/>
  <c r="J132" i="5" s="1"/>
  <c r="J49" i="5" s="1"/>
  <c r="L28" i="6"/>
  <c r="L47" i="6" s="1"/>
  <c r="M29" i="6"/>
  <c r="N38" i="10"/>
  <c r="M37" i="10"/>
  <c r="M40" i="10" s="1"/>
  <c r="M45" i="10" s="1"/>
  <c r="I143" i="5"/>
  <c r="I163" i="5"/>
  <c r="I158" i="5"/>
  <c r="J143" i="5"/>
  <c r="J163" i="5"/>
  <c r="K40" i="6"/>
  <c r="K45" i="6" s="1"/>
  <c r="I83" i="5"/>
  <c r="H85" i="5"/>
  <c r="H154" i="5"/>
  <c r="H157" i="5" s="1"/>
  <c r="N38" i="6"/>
  <c r="M37" i="6"/>
  <c r="H145" i="5"/>
  <c r="H146" i="5" s="1"/>
  <c r="H165" i="5"/>
  <c r="H56" i="4"/>
  <c r="H66" i="4" s="1"/>
  <c r="H87" i="4" s="1"/>
  <c r="H133" i="4"/>
  <c r="H134" i="4" s="1"/>
  <c r="J83" i="4"/>
  <c r="I136" i="4"/>
  <c r="I139" i="4" s="1"/>
  <c r="I140" i="4"/>
  <c r="I85" i="4"/>
  <c r="I145" i="4" s="1"/>
  <c r="I53" i="4"/>
  <c r="J117" i="4"/>
  <c r="J118" i="4" s="1"/>
  <c r="J53" i="4" s="1"/>
  <c r="L40" i="6" l="1"/>
  <c r="L45" i="6" s="1"/>
  <c r="G87" i="5"/>
  <c r="H52" i="5"/>
  <c r="H64" i="5" s="1"/>
  <c r="H87" i="5" s="1"/>
  <c r="H151" i="5"/>
  <c r="H152" i="5" s="1"/>
  <c r="J145" i="5"/>
  <c r="J146" i="5" s="1"/>
  <c r="J165" i="5"/>
  <c r="I145" i="5"/>
  <c r="I146" i="5" s="1"/>
  <c r="I165" i="5"/>
  <c r="O38" i="10"/>
  <c r="N37" i="10"/>
  <c r="N40" i="10" s="1"/>
  <c r="N45" i="10" s="1"/>
  <c r="O38" i="6"/>
  <c r="N37" i="6"/>
  <c r="N29" i="6"/>
  <c r="M28" i="6"/>
  <c r="J151" i="5"/>
  <c r="J152" i="5" s="1"/>
  <c r="F15" i="6"/>
  <c r="I15" i="6" s="1"/>
  <c r="J52" i="5"/>
  <c r="J64" i="5" s="1"/>
  <c r="I85" i="5"/>
  <c r="I154" i="5"/>
  <c r="I157" i="5" s="1"/>
  <c r="J83" i="5"/>
  <c r="I52" i="5"/>
  <c r="I64" i="5" s="1"/>
  <c r="I151" i="5"/>
  <c r="I152" i="5" s="1"/>
  <c r="I56" i="4"/>
  <c r="I66" i="4" s="1"/>
  <c r="I87" i="4" s="1"/>
  <c r="I133" i="4"/>
  <c r="I134" i="4" s="1"/>
  <c r="J85" i="4"/>
  <c r="J145" i="4" s="1"/>
  <c r="J136" i="4"/>
  <c r="J139" i="4" s="1"/>
  <c r="J140" i="4"/>
  <c r="J56" i="4"/>
  <c r="J66" i="4" s="1"/>
  <c r="J133" i="4"/>
  <c r="J134" i="4" s="1"/>
  <c r="I87" i="5" l="1"/>
  <c r="N28" i="6"/>
  <c r="O29" i="6"/>
  <c r="M40" i="6"/>
  <c r="M45" i="6" s="1"/>
  <c r="M47" i="6"/>
  <c r="P38" i="6"/>
  <c r="P37" i="6" s="1"/>
  <c r="O37" i="6"/>
  <c r="P38" i="10"/>
  <c r="P37" i="10" s="1"/>
  <c r="P40" i="10" s="1"/>
  <c r="O37" i="10"/>
  <c r="O40" i="10" s="1"/>
  <c r="O45" i="10" s="1"/>
  <c r="J154" i="5"/>
  <c r="J157" i="5" s="1"/>
  <c r="J85" i="5"/>
  <c r="J87" i="5" s="1"/>
  <c r="J158" i="5"/>
  <c r="J87" i="4"/>
  <c r="N47" i="6" l="1"/>
  <c r="N40" i="6"/>
  <c r="N45" i="6" s="1"/>
  <c r="F7" i="10"/>
  <c r="F9" i="10" s="1"/>
  <c r="I10" i="10"/>
  <c r="P45" i="10"/>
  <c r="I13" i="10" s="1"/>
  <c r="P29" i="6"/>
  <c r="P28" i="6" s="1"/>
  <c r="O28" i="6"/>
  <c r="I16" i="10" l="1"/>
  <c r="I21" i="10"/>
  <c r="F10" i="10"/>
  <c r="F12" i="10"/>
  <c r="O40" i="6"/>
  <c r="O45" i="6" s="1"/>
  <c r="O47" i="6"/>
  <c r="P40" i="6"/>
  <c r="P47" i="6"/>
  <c r="I7" i="6" s="1"/>
  <c r="I9" i="6" s="1"/>
  <c r="F13" i="10"/>
  <c r="I18" i="10" l="1"/>
  <c r="I19" i="10" s="1"/>
  <c r="F21" i="10"/>
  <c r="I10" i="6"/>
  <c r="I12" i="6"/>
  <c r="F7" i="6"/>
  <c r="F9" i="6" s="1"/>
  <c r="P45" i="6"/>
  <c r="F13" i="6" s="1"/>
  <c r="F16" i="10"/>
  <c r="F18" i="10" s="1"/>
  <c r="B61" i="10" l="1"/>
  <c r="F19" i="10"/>
  <c r="F10" i="6"/>
  <c r="F12" i="6"/>
  <c r="F21" i="6" s="1"/>
  <c r="I13" i="6"/>
  <c r="I16" i="6" s="1"/>
  <c r="I18" i="6" s="1"/>
  <c r="B51" i="10" l="1"/>
  <c r="I19" i="6"/>
  <c r="B61" i="6"/>
  <c r="I21" i="6"/>
  <c r="F16" i="6"/>
  <c r="F18" i="6" s="1"/>
  <c r="F19" i="6" l="1"/>
  <c r="B51" i="6"/>
</calcChain>
</file>

<file path=xl/sharedStrings.xml><?xml version="1.0" encoding="utf-8"?>
<sst xmlns="http://schemas.openxmlformats.org/spreadsheetml/2006/main" count="848" uniqueCount="375">
  <si>
    <t>Income Statement</t>
  </si>
  <si>
    <t>Revenue</t>
  </si>
  <si>
    <t>Operating Expenses</t>
  </si>
  <si>
    <t>Operating Profit</t>
  </si>
  <si>
    <t>(+) Revenue</t>
  </si>
  <si>
    <t>(-) Cost of Good Sold</t>
  </si>
  <si>
    <t>Gross Profit</t>
  </si>
  <si>
    <t>(-) SG&amp;A</t>
  </si>
  <si>
    <t>(-) Depreciation and Amortization</t>
  </si>
  <si>
    <t>Earning Before Tax</t>
  </si>
  <si>
    <t>(-) Income Tax</t>
  </si>
  <si>
    <t>Net Income</t>
  </si>
  <si>
    <t>(+/-) Investment and Other Income</t>
  </si>
  <si>
    <t>(-) Attributable to Non-controlling</t>
  </si>
  <si>
    <t>Net Income Attributable to Parent</t>
  </si>
  <si>
    <t>Historical</t>
  </si>
  <si>
    <t>Cashflow Statement</t>
  </si>
  <si>
    <t>Non-Cash Adjustments</t>
  </si>
  <si>
    <t>(+) D&amp;A</t>
  </si>
  <si>
    <t>(+) Shared Based Compesation</t>
  </si>
  <si>
    <t>(+/-) Net Gain / Loss on investment</t>
  </si>
  <si>
    <t>(+/-) Deferred Income Taxes</t>
  </si>
  <si>
    <t>Change in Working Capital</t>
  </si>
  <si>
    <t>(+/-) Change in Receivables</t>
  </si>
  <si>
    <t>(+/-) Change in Content Cost</t>
  </si>
  <si>
    <t>(+/-) Change in Account Payables</t>
  </si>
  <si>
    <t>(+/-) Other Assets/Liabilities</t>
  </si>
  <si>
    <t>Net Change from Working Capital</t>
  </si>
  <si>
    <t>Cash from Operations</t>
  </si>
  <si>
    <t>(-) CAPEX</t>
  </si>
  <si>
    <t>Cash from Investing</t>
  </si>
  <si>
    <t>(-) Change in Net Parent Investment</t>
  </si>
  <si>
    <t>(+/-) Other</t>
  </si>
  <si>
    <t>Cash from Financing</t>
  </si>
  <si>
    <t>Balance Sheet</t>
  </si>
  <si>
    <t>Assets</t>
  </si>
  <si>
    <t>Current Assets</t>
  </si>
  <si>
    <t>Cash and Cash Equivalents</t>
  </si>
  <si>
    <t>Trade Receivable</t>
  </si>
  <si>
    <t>Other Current Assets</t>
  </si>
  <si>
    <t>Total Current Assets</t>
  </si>
  <si>
    <t>Non-Current Assets</t>
  </si>
  <si>
    <t>Content Cost</t>
  </si>
  <si>
    <t>Investment</t>
  </si>
  <si>
    <t>PP&amp;E</t>
  </si>
  <si>
    <t>Goodwill</t>
  </si>
  <si>
    <t>Other Non-Current Assets</t>
  </si>
  <si>
    <t>Total Non-Current Assets</t>
  </si>
  <si>
    <t>Liabilities &amp; Equity</t>
  </si>
  <si>
    <t>Current Liabilities</t>
  </si>
  <si>
    <t>Account Payable</t>
  </si>
  <si>
    <t>Deferred Revenue</t>
  </si>
  <si>
    <t>Accrued</t>
  </si>
  <si>
    <t>Total Current Liabilities</t>
  </si>
  <si>
    <t>Non-Current Liabilities</t>
  </si>
  <si>
    <t>Deferred Income Tax</t>
  </si>
  <si>
    <t>Non-Current Content Obligation</t>
  </si>
  <si>
    <t>Accrued Content Obligation</t>
  </si>
  <si>
    <t>Other Liabilities</t>
  </si>
  <si>
    <t>Total Non-Current Liabilities</t>
  </si>
  <si>
    <t>Total Liabilities</t>
  </si>
  <si>
    <t>Equity</t>
  </si>
  <si>
    <t>Balance Check</t>
  </si>
  <si>
    <t>Total Assets</t>
  </si>
  <si>
    <t>Comcast - ParentCo</t>
  </si>
  <si>
    <t>Combined Income Statement</t>
  </si>
  <si>
    <t>(-) Marketing and Promotion</t>
  </si>
  <si>
    <t>(-) Other Administrative</t>
  </si>
  <si>
    <t>(-) Depreciation</t>
  </si>
  <si>
    <t>(-) Amortization</t>
  </si>
  <si>
    <t>(-) Impairment of Goodwill</t>
  </si>
  <si>
    <t>Total Operating Expenses</t>
  </si>
  <si>
    <t>(-) Interest Expense</t>
  </si>
  <si>
    <t>Earning Before Taxes</t>
  </si>
  <si>
    <t>(-) Non-Controlling Interest</t>
  </si>
  <si>
    <t>Combined Cashflow Statement</t>
  </si>
  <si>
    <t>Adjustment of non-cash</t>
  </si>
  <si>
    <t>(+) Depreciation</t>
  </si>
  <si>
    <t>(+) Amortization</t>
  </si>
  <si>
    <t>(+) Impairment</t>
  </si>
  <si>
    <t>(+) Shared-Based Compesation</t>
  </si>
  <si>
    <t>(+) Non-cash Interest Expensed</t>
  </si>
  <si>
    <t>(+/-) Net Gain (loss) on investment activity</t>
  </si>
  <si>
    <t>(+/-) Deferred Income Tax</t>
  </si>
  <si>
    <t>(+/-) Change in Account Receivables</t>
  </si>
  <si>
    <t>(+/-) Change in Film and TV Cost</t>
  </si>
  <si>
    <t>(+/-) Change in Account Payables and Accrued</t>
  </si>
  <si>
    <t>(+/-) Change in Other Assets and Liabilities</t>
  </si>
  <si>
    <t>Net Change in Working Capital</t>
  </si>
  <si>
    <t>(-) Intangible Assets</t>
  </si>
  <si>
    <t>(-) Purchase of Investments</t>
  </si>
  <si>
    <t>(+) Advanced of Sale of Investments</t>
  </si>
  <si>
    <t>(+/-) Debt</t>
  </si>
  <si>
    <t>(-) Repurchase of Common Stock</t>
  </si>
  <si>
    <t>(-) Dividend</t>
  </si>
  <si>
    <t>Effect FX</t>
  </si>
  <si>
    <t>Film and TV Cost</t>
  </si>
  <si>
    <t>Investments</t>
  </si>
  <si>
    <t>Franchise Rights</t>
  </si>
  <si>
    <t>Other Intangible</t>
  </si>
  <si>
    <t>Accrued Expenses</t>
  </si>
  <si>
    <t>Advanced on Sale of Investments</t>
  </si>
  <si>
    <t>Long-Term Debt</t>
  </si>
  <si>
    <t>Other Non-Current Liabilities</t>
  </si>
  <si>
    <t>Commitments and contigences</t>
  </si>
  <si>
    <t>Common Equity</t>
  </si>
  <si>
    <t>Non-Controlling Interest</t>
  </si>
  <si>
    <t>Total Equity</t>
  </si>
  <si>
    <t>9M</t>
  </si>
  <si>
    <t>2024 9M</t>
  </si>
  <si>
    <t>2025 9M</t>
  </si>
  <si>
    <t>Combined Income Statement 9M</t>
  </si>
  <si>
    <t>(-) Other Operating and Administrative</t>
  </si>
  <si>
    <t>(-) Tax</t>
  </si>
  <si>
    <t>(+/-) Attributable to Non-Controlling Interest</t>
  </si>
  <si>
    <t>(-) Impairment</t>
  </si>
  <si>
    <t>Combined Cashflow Statement 9M</t>
  </si>
  <si>
    <t>Adjustment for Non-Cash</t>
  </si>
  <si>
    <t>(+/-) Change in Account Receivable</t>
  </si>
  <si>
    <t>(+/-) Change in Account Payable</t>
  </si>
  <si>
    <t>Combined Balance Sheet</t>
  </si>
  <si>
    <t>Income Statement 9M</t>
  </si>
  <si>
    <t>(+) Common Stockholder Equity</t>
  </si>
  <si>
    <t>(+) Non-controlling Interest</t>
  </si>
  <si>
    <t>(+) Non-Controlling Interest</t>
  </si>
  <si>
    <t>Projected</t>
  </si>
  <si>
    <t>Growth</t>
  </si>
  <si>
    <t>Gross Margin</t>
  </si>
  <si>
    <t>SG&amp;A</t>
  </si>
  <si>
    <t>% Revenue</t>
  </si>
  <si>
    <t>D&amp;A</t>
  </si>
  <si>
    <t>Investment and Other Income</t>
  </si>
  <si>
    <t>Tax</t>
  </si>
  <si>
    <t>% Effective Tax Rate</t>
  </si>
  <si>
    <t>Attributable to Non-controlling</t>
  </si>
  <si>
    <t>Cashflow Statement Drivers</t>
  </si>
  <si>
    <t>Income Statement Drivers</t>
  </si>
  <si>
    <t>Share Based Compeastion</t>
  </si>
  <si>
    <t>Net Gain / Loss on investment</t>
  </si>
  <si>
    <t>Deferred Income Tax as % Book Tax</t>
  </si>
  <si>
    <t>CAPEX</t>
  </si>
  <si>
    <t>Other</t>
  </si>
  <si>
    <t>Change in Net Parent Investment</t>
  </si>
  <si>
    <t>(-) Other Investment</t>
  </si>
  <si>
    <t>Other Investment</t>
  </si>
  <si>
    <t>Intangible Assets (incl. PP&amp;E</t>
  </si>
  <si>
    <t xml:space="preserve">Account Payable </t>
  </si>
  <si>
    <t>% Cost of Good Sold</t>
  </si>
  <si>
    <t>% Op. Expenses</t>
  </si>
  <si>
    <t>Net Change</t>
  </si>
  <si>
    <t>Beginning Cash</t>
  </si>
  <si>
    <t>Ending Cash</t>
  </si>
  <si>
    <t>Versant - Transaction Adjustments</t>
  </si>
  <si>
    <t>Transaction Assumptions</t>
  </si>
  <si>
    <t>Distribution Ratio</t>
  </si>
  <si>
    <t>Special Cash to Comcast</t>
  </si>
  <si>
    <t>Transaction Cost</t>
  </si>
  <si>
    <t>Class A Shares</t>
  </si>
  <si>
    <t>Units</t>
  </si>
  <si>
    <t>Shares of New Company</t>
  </si>
  <si>
    <t>Share Price</t>
  </si>
  <si>
    <t>Price of Share at Distribution Time</t>
  </si>
  <si>
    <t>Transaction Adjusments</t>
  </si>
  <si>
    <t>Separated Company</t>
  </si>
  <si>
    <t>(-) One Time Fee</t>
  </si>
  <si>
    <t>(-) Additional SG&amp;A</t>
  </si>
  <si>
    <t>SubCo Overhead % Revenue</t>
  </si>
  <si>
    <t>(-) Interest Expenses</t>
  </si>
  <si>
    <t>Marginal Tax Rate</t>
  </si>
  <si>
    <t>Pro Forma Adjustment</t>
  </si>
  <si>
    <t>New Debt Proceeds</t>
  </si>
  <si>
    <t>Cash Before Transaction</t>
  </si>
  <si>
    <t>(-) Payment to Parent</t>
  </si>
  <si>
    <t>(+) Debt Proceeds</t>
  </si>
  <si>
    <t>Cash Ending Transaction</t>
  </si>
  <si>
    <t>Trade Receivables</t>
  </si>
  <si>
    <t>Debt Fee</t>
  </si>
  <si>
    <t>(-) Debt Fee</t>
  </si>
  <si>
    <t>Interest Rate</t>
  </si>
  <si>
    <t>Liabilities</t>
  </si>
  <si>
    <t>Common Stockholder Equity</t>
  </si>
  <si>
    <t>(+) Non-Controlling Equity</t>
  </si>
  <si>
    <t>Net Change in Cash</t>
  </si>
  <si>
    <t>(-) Additional CAPEX</t>
  </si>
  <si>
    <t>Additional CAPEX</t>
  </si>
  <si>
    <t>(+) Removal Net Parent</t>
  </si>
  <si>
    <t>Ratios</t>
  </si>
  <si>
    <t>EBITDA</t>
  </si>
  <si>
    <t>Net Cash from Operating Activities</t>
  </si>
  <si>
    <t>Free Cash Flow</t>
  </si>
  <si>
    <t>Dividend</t>
  </si>
  <si>
    <t>% Free Cash Flow</t>
  </si>
  <si>
    <t>% Growth</t>
  </si>
  <si>
    <t>% Gross Margin</t>
  </si>
  <si>
    <t>Marketing Expenses</t>
  </si>
  <si>
    <t>Other Administrative</t>
  </si>
  <si>
    <t>Depreciation</t>
  </si>
  <si>
    <t>Amortization</t>
  </si>
  <si>
    <t>Impairment of Goodwill</t>
  </si>
  <si>
    <t>Shared-Based Compesation</t>
  </si>
  <si>
    <t>Non-Cash Interest Expensed</t>
  </si>
  <si>
    <t>Net Gain (loss) on investment activity</t>
  </si>
  <si>
    <t>% Book Tax</t>
  </si>
  <si>
    <t>Intangible Assets</t>
  </si>
  <si>
    <t>(+) Proceeds from Sale of Business</t>
  </si>
  <si>
    <t>Proceeds from Sale of Business</t>
  </si>
  <si>
    <t>Purchase of Investments</t>
  </si>
  <si>
    <t>Repurchase of Common Stock</t>
  </si>
  <si>
    <t>% Net Income</t>
  </si>
  <si>
    <t>Balance Sheet Drivers</t>
  </si>
  <si>
    <t>Film and TV Costs</t>
  </si>
  <si>
    <t>Debt</t>
  </si>
  <si>
    <t xml:space="preserve">Weighted Interest </t>
  </si>
  <si>
    <t>Interest Expenses</t>
  </si>
  <si>
    <t>Amortization Schedule</t>
  </si>
  <si>
    <t>Comcast - Transaction Adjustments</t>
  </si>
  <si>
    <t>SubCo - Adjusted Income Statement</t>
  </si>
  <si>
    <t>SubCo - Adjusted Balance Sheet</t>
  </si>
  <si>
    <t>SubCo - Adjusted Cashflow Statement</t>
  </si>
  <si>
    <t>SubCo - Ratios</t>
  </si>
  <si>
    <t>Versant - SubCo - Projection Separated Company</t>
  </si>
  <si>
    <t>ParentCo - Adjusted Income Statement</t>
  </si>
  <si>
    <t>Credit</t>
  </si>
  <si>
    <t>Debit</t>
  </si>
  <si>
    <t>Post Transaction - Gross Profit</t>
  </si>
  <si>
    <t>Post Transaction - Total Operating Expenses</t>
  </si>
  <si>
    <t>Post Transaction - Net Income Attributable to Parent</t>
  </si>
  <si>
    <t>Post Transcation - Gross Profit</t>
  </si>
  <si>
    <t>(-) SubCo - Revenue</t>
  </si>
  <si>
    <t>(+) SubCo - Cost of Good Sold</t>
  </si>
  <si>
    <t>(+) SubCo - SG&amp;A</t>
  </si>
  <si>
    <t>(+) SubCo - D&amp;A</t>
  </si>
  <si>
    <t>(+/-) SubCo - Investment and Other Income</t>
  </si>
  <si>
    <t>Post Transaction - Earning Before Tax</t>
  </si>
  <si>
    <t>Transaction Adjustments</t>
  </si>
  <si>
    <t>Post Transaction - Net Income</t>
  </si>
  <si>
    <t>(+/-) Non-Controlling Interest</t>
  </si>
  <si>
    <t>(+/-) SubCo - Non-Controlling Interest</t>
  </si>
  <si>
    <t>Post-Transaction - Net Income Attributable</t>
  </si>
  <si>
    <t>ParentCo - Adjusted Balance Sheet</t>
  </si>
  <si>
    <t>Cash from SubCo</t>
  </si>
  <si>
    <t>(+) Added to assets</t>
  </si>
  <si>
    <t>(-) Remove from Liabilities</t>
  </si>
  <si>
    <t>Adjustment to Equity</t>
  </si>
  <si>
    <t>ParentCo - Adjusted Cashflow Statement</t>
  </si>
  <si>
    <t>Post-Transaction Net Income</t>
  </si>
  <si>
    <t>(-) SubCo - D&amp;A</t>
  </si>
  <si>
    <t>(-) SubCo - Shared-Based Compesation</t>
  </si>
  <si>
    <t>(+/-) SubCo - Net Gain / Loss on investment</t>
  </si>
  <si>
    <t>Post-Transaction - Cash from Operations</t>
  </si>
  <si>
    <t>Post-Transaction - Cash from Investing</t>
  </si>
  <si>
    <t>(+) Subco - Purchase of Investments</t>
  </si>
  <si>
    <t>(+) SubCo - CAPEX</t>
  </si>
  <si>
    <t>Post-Transaction - Cash from Financing</t>
  </si>
  <si>
    <t>(+/-) SubCo - Other</t>
  </si>
  <si>
    <t>Effect from FX</t>
  </si>
  <si>
    <t>EPS</t>
  </si>
  <si>
    <t>Shares Outstanding</t>
  </si>
  <si>
    <t>Buyback</t>
  </si>
  <si>
    <t>Invested Capital</t>
  </si>
  <si>
    <t>NOPAT</t>
  </si>
  <si>
    <t>Parent Marginal Rate</t>
  </si>
  <si>
    <t>ROIC</t>
  </si>
  <si>
    <t>ROE</t>
  </si>
  <si>
    <t>Operating Margin</t>
  </si>
  <si>
    <t>EBITDA Margin</t>
  </si>
  <si>
    <t>Net Income Margin</t>
  </si>
  <si>
    <t>Post-Transaction Equity</t>
  </si>
  <si>
    <t>Market Cap</t>
  </si>
  <si>
    <t>Post-Transaction Equity Value</t>
  </si>
  <si>
    <t>(-) Cash</t>
  </si>
  <si>
    <t>(+) Debt</t>
  </si>
  <si>
    <t>Post-Transaction Enterprise Value</t>
  </si>
  <si>
    <t>(-) Investments</t>
  </si>
  <si>
    <t>P/E</t>
  </si>
  <si>
    <t>Enterprise Value</t>
  </si>
  <si>
    <t>EV/EBITDA</t>
  </si>
  <si>
    <t>Net Debt</t>
  </si>
  <si>
    <t>Net Debt / EBITDA</t>
  </si>
  <si>
    <t>Post-Transaction EPS</t>
  </si>
  <si>
    <t>Pre-Transaction EPS</t>
  </si>
  <si>
    <t>Spinoff Accretion / (Dilution) - %</t>
  </si>
  <si>
    <t>Spinoff Accretion / (Dilution) - $</t>
  </si>
  <si>
    <t>Post-Transaction - P/E</t>
  </si>
  <si>
    <t>Post-Transaction EV/EBITDA</t>
  </si>
  <si>
    <t>Revenue Growth</t>
  </si>
  <si>
    <t>P/B</t>
  </si>
  <si>
    <t>Comcast - Discounted Free Cash Flow</t>
  </si>
  <si>
    <t>Unlevered Free Cash Flow</t>
  </si>
  <si>
    <t>HISTORICAL</t>
  </si>
  <si>
    <t>PROJECTED</t>
  </si>
  <si>
    <t>(+/-) Working Capital</t>
  </si>
  <si>
    <t>Margin</t>
  </si>
  <si>
    <t>% Change in Revenue</t>
  </si>
  <si>
    <t>Period</t>
  </si>
  <si>
    <t>Cost of Capital</t>
  </si>
  <si>
    <t>Discount Factor</t>
  </si>
  <si>
    <t>PV</t>
  </si>
  <si>
    <t>Perpetual</t>
  </si>
  <si>
    <t>Terminal FCFF</t>
  </si>
  <si>
    <t>Terminal Value</t>
  </si>
  <si>
    <t>Implied EV/EBITDA</t>
  </si>
  <si>
    <t>PV of Terminal</t>
  </si>
  <si>
    <t>Sum of PV</t>
  </si>
  <si>
    <t>(-) Debt</t>
  </si>
  <si>
    <t>(+) Cash</t>
  </si>
  <si>
    <t>Share</t>
  </si>
  <si>
    <t>Upside</t>
  </si>
  <si>
    <t>Implied TV over EV</t>
  </si>
  <si>
    <t>Current Shares</t>
  </si>
  <si>
    <t>Exit</t>
  </si>
  <si>
    <t>Terminal EBITDA</t>
  </si>
  <si>
    <t>Implied Growth</t>
  </si>
  <si>
    <t>Comcast Segment</t>
  </si>
  <si>
    <t>Weight Revenue</t>
  </si>
  <si>
    <t>Content &amp; Experience</t>
  </si>
  <si>
    <t>Connectivity and Platform</t>
  </si>
  <si>
    <t>AT&amp;T</t>
  </si>
  <si>
    <t>Verizon</t>
  </si>
  <si>
    <t>Charter</t>
  </si>
  <si>
    <t>T-Mobile</t>
  </si>
  <si>
    <t>Beta</t>
  </si>
  <si>
    <t>Company Name</t>
  </si>
  <si>
    <t>Ticker</t>
  </si>
  <si>
    <t>T</t>
  </si>
  <si>
    <t>VZ</t>
  </si>
  <si>
    <t>CHTR</t>
  </si>
  <si>
    <t>TMUS</t>
  </si>
  <si>
    <t>Median</t>
  </si>
  <si>
    <t>Warner Bros discovery</t>
  </si>
  <si>
    <t>Fox Corp</t>
  </si>
  <si>
    <t>Disney</t>
  </si>
  <si>
    <t>FOXA</t>
  </si>
  <si>
    <t>WBD</t>
  </si>
  <si>
    <t>DIS</t>
  </si>
  <si>
    <t>Comcast</t>
  </si>
  <si>
    <t>Weighted Beta</t>
  </si>
  <si>
    <t>Post-Transaction Debt</t>
  </si>
  <si>
    <t xml:space="preserve">Debt % </t>
  </si>
  <si>
    <t>Equity %</t>
  </si>
  <si>
    <t>Levered Beta</t>
  </si>
  <si>
    <t>Equity Risk Premium</t>
  </si>
  <si>
    <t>Risk Free Rate</t>
  </si>
  <si>
    <t>Cost of Equity</t>
  </si>
  <si>
    <t>Cost of Debt - Pre Tax</t>
  </si>
  <si>
    <t>Cost of Debt - After Tax</t>
  </si>
  <si>
    <t>Perpetual Growth</t>
  </si>
  <si>
    <t>Estimated 2026 EBITDA</t>
  </si>
  <si>
    <t>Comcast - Sum of the Part</t>
  </si>
  <si>
    <t>Segment</t>
  </si>
  <si>
    <t>Target Multiple</t>
  </si>
  <si>
    <t>EV</t>
  </si>
  <si>
    <t>Summation</t>
  </si>
  <si>
    <t xml:space="preserve">Discount </t>
  </si>
  <si>
    <t>Parent Implied Discount</t>
  </si>
  <si>
    <t>Upside from Price</t>
  </si>
  <si>
    <t>Content &amp; Experiences</t>
  </si>
  <si>
    <t xml:space="preserve">Connectivity and Platform </t>
  </si>
  <si>
    <t>Weight</t>
  </si>
  <si>
    <t>(-) Net Debt</t>
  </si>
  <si>
    <t>Share (Discount Impl.)</t>
  </si>
  <si>
    <t>Versant - Discounted Free Cash Flow</t>
  </si>
  <si>
    <t>Comcast - WACC</t>
  </si>
  <si>
    <t>Versant - WACC</t>
  </si>
  <si>
    <t>Company</t>
  </si>
  <si>
    <t xml:space="preserve">Warner Bros </t>
  </si>
  <si>
    <t>Paramount Global</t>
  </si>
  <si>
    <t>Fox</t>
  </si>
  <si>
    <t>AMC Networks</t>
  </si>
  <si>
    <t>PARA</t>
  </si>
  <si>
    <t>AMCX</t>
  </si>
  <si>
    <t>Versant</t>
  </si>
  <si>
    <t>Debt %</t>
  </si>
  <si>
    <t>Cost of Debt</t>
  </si>
  <si>
    <t>Cost of Debt After 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</si>
</sst>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#,##0.00\x"/>
    <numFmt numFmtId="165" formatCode="yyyy\ &quot;FY&quot;"/>
    <numFmt numFmtId="166" formatCode="yyyy\ &quot;PF&quot;"/>
    <numFmt numFmtId="167" formatCode="0&quot;M&quot;"/>
    <numFmt numFmtId="168" formatCode="0.0000%"/>
  </numFmts>
  <fonts count="1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"/>
      <family val="2"/>
      <scheme val="maj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4"/>
      <color theme="1"/>
      <name val="Calibri"/>
      <family val="2"/>
      <scheme val="maj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ajor"/>
    </font>
    <font>
      <b/>
      <sz val="12"/>
      <color rgb="FFFFFFFF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6"/>
      <color rgb="FF1F1F1F"/>
      <name val="Helvetica Neue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i/>
      <sz val="12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156082"/>
        <bgColor rgb="FF000000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70C0"/>
        <bgColor indexed="64"/>
      </patternFill>
    </fill>
  </fills>
  <borders count="3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indexed="64"/>
      </top>
      <bottom style="thin">
        <color indexed="64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 applyNumberFormat="0" applyFill="0" applyBorder="0" applyAlignment="0" applyProtection="0"/>
    <xf numFmtId="0" fontId="1" fillId="2" borderId="1" applyNumberFormat="0" applyFont="0" applyAlignment="0" applyProtection="0"/>
    <xf numFmtId="0" fontId="5" fillId="3" borderId="0" applyNumberFormat="0" applyBorder="0" applyAlignment="0" applyProtection="0"/>
    <xf numFmtId="0" fontId="10" fillId="0" borderId="0" applyNumberFormat="0" applyFill="0" applyBorder="0" applyAlignment="0" applyProtection="0"/>
    <xf numFmtId="0" fontId="1" fillId="6" borderId="0" applyNumberFormat="0" applyBorder="0" applyAlignment="0" applyProtection="0"/>
  </cellStyleXfs>
  <cellXfs count="139">
    <xf numFmtId="0" fontId="0" fillId="0" borderId="0" xfId="0"/>
    <xf numFmtId="0" fontId="6" fillId="0" borderId="0" xfId="1" applyFont="1"/>
    <xf numFmtId="0" fontId="5" fillId="3" borderId="0" xfId="3"/>
    <xf numFmtId="44" fontId="7" fillId="0" borderId="0" xfId="0" applyNumberFormat="1" applyFont="1"/>
    <xf numFmtId="0" fontId="4" fillId="0" borderId="0" xfId="0" applyFont="1"/>
    <xf numFmtId="44" fontId="4" fillId="0" borderId="0" xfId="0" applyNumberFormat="1" applyFont="1"/>
    <xf numFmtId="44" fontId="0" fillId="0" borderId="0" xfId="0" applyNumberFormat="1"/>
    <xf numFmtId="0" fontId="0" fillId="0" borderId="0" xfId="0" applyAlignment="1">
      <alignment horizontal="left" indent="1"/>
    </xf>
    <xf numFmtId="0" fontId="4" fillId="0" borderId="2" xfId="0" applyFont="1" applyBorder="1"/>
    <xf numFmtId="44" fontId="4" fillId="0" borderId="2" xfId="0" applyNumberFormat="1" applyFont="1" applyBorder="1"/>
    <xf numFmtId="0" fontId="3" fillId="3" borderId="0" xfId="3" applyFont="1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4" borderId="4" xfId="0" applyFill="1" applyBorder="1"/>
    <xf numFmtId="0" fontId="4" fillId="4" borderId="3" xfId="0" applyFont="1" applyFill="1" applyBorder="1"/>
    <xf numFmtId="0" fontId="8" fillId="0" borderId="0" xfId="1" applyFont="1"/>
    <xf numFmtId="0" fontId="4" fillId="0" borderId="7" xfId="0" applyFont="1" applyBorder="1"/>
    <xf numFmtId="44" fontId="4" fillId="0" borderId="7" xfId="0" applyNumberFormat="1" applyFont="1" applyBorder="1"/>
    <xf numFmtId="0" fontId="0" fillId="4" borderId="8" xfId="0" applyFill="1" applyBorder="1"/>
    <xf numFmtId="0" fontId="0" fillId="4" borderId="10" xfId="0" applyFill="1" applyBorder="1"/>
    <xf numFmtId="0" fontId="0" fillId="4" borderId="9" xfId="0" applyFill="1" applyBorder="1"/>
    <xf numFmtId="0" fontId="3" fillId="3" borderId="6" xfId="3" applyFont="1" applyBorder="1"/>
    <xf numFmtId="0" fontId="3" fillId="3" borderId="11" xfId="3" applyFont="1" applyBorder="1"/>
    <xf numFmtId="0" fontId="9" fillId="5" borderId="0" xfId="0" applyFont="1" applyFill="1"/>
    <xf numFmtId="0" fontId="9" fillId="5" borderId="16" xfId="0" applyFont="1" applyFill="1" applyBorder="1"/>
    <xf numFmtId="10" fontId="0" fillId="0" borderId="0" xfId="0" applyNumberFormat="1"/>
    <xf numFmtId="10" fontId="0" fillId="2" borderId="1" xfId="2" applyNumberFormat="1" applyFont="1"/>
    <xf numFmtId="0" fontId="0" fillId="2" borderId="1" xfId="2" applyFont="1"/>
    <xf numFmtId="44" fontId="0" fillId="2" borderId="1" xfId="2" applyNumberFormat="1" applyFont="1"/>
    <xf numFmtId="0" fontId="10" fillId="0" borderId="0" xfId="4"/>
    <xf numFmtId="44" fontId="10" fillId="0" borderId="0" xfId="4" applyNumberFormat="1" applyAlignment="1">
      <alignment horizontal="right"/>
    </xf>
    <xf numFmtId="164" fontId="0" fillId="2" borderId="1" xfId="2" applyNumberFormat="1" applyFont="1"/>
    <xf numFmtId="0" fontId="0" fillId="0" borderId="18" xfId="0" applyBorder="1"/>
    <xf numFmtId="0" fontId="0" fillId="0" borderId="19" xfId="0" applyBorder="1"/>
    <xf numFmtId="0" fontId="1" fillId="7" borderId="7" xfId="5" applyFill="1" applyBorder="1" applyAlignment="1">
      <alignment horizontal="left" indent="1"/>
    </xf>
    <xf numFmtId="44" fontId="1" fillId="7" borderId="7" xfId="5" applyNumberFormat="1" applyFill="1" applyBorder="1"/>
    <xf numFmtId="0" fontId="1" fillId="7" borderId="23" xfId="5" applyFill="1" applyBorder="1"/>
    <xf numFmtId="0" fontId="1" fillId="7" borderId="24" xfId="5" applyFill="1" applyBorder="1"/>
    <xf numFmtId="0" fontId="1" fillId="7" borderId="20" xfId="5" applyFill="1" applyBorder="1" applyAlignment="1">
      <alignment horizontal="left" indent="1"/>
    </xf>
    <xf numFmtId="44" fontId="1" fillId="7" borderId="20" xfId="5" applyNumberFormat="1" applyFill="1" applyBorder="1"/>
    <xf numFmtId="0" fontId="1" fillId="7" borderId="21" xfId="5" applyFill="1" applyBorder="1"/>
    <xf numFmtId="0" fontId="1" fillId="7" borderId="22" xfId="5" applyFill="1" applyBorder="1"/>
    <xf numFmtId="0" fontId="0" fillId="7" borderId="10" xfId="0" applyFill="1" applyBorder="1" applyAlignment="1">
      <alignment horizontal="left" indent="1"/>
    </xf>
    <xf numFmtId="44" fontId="0" fillId="7" borderId="10" xfId="0" applyNumberFormat="1" applyFill="1" applyBorder="1"/>
    <xf numFmtId="0" fontId="0" fillId="7" borderId="25" xfId="0" applyFill="1" applyBorder="1"/>
    <xf numFmtId="0" fontId="0" fillId="7" borderId="9" xfId="0" applyFill="1" applyBorder="1"/>
    <xf numFmtId="165" fontId="3" fillId="3" borderId="6" xfId="3" applyNumberFormat="1" applyFont="1" applyBorder="1"/>
    <xf numFmtId="166" fontId="3" fillId="3" borderId="6" xfId="3" applyNumberFormat="1" applyFont="1" applyBorder="1"/>
    <xf numFmtId="165" fontId="3" fillId="3" borderId="26" xfId="3" applyNumberFormat="1" applyFont="1" applyBorder="1"/>
    <xf numFmtId="165" fontId="3" fillId="3" borderId="27" xfId="3" applyNumberFormat="1" applyFont="1" applyBorder="1"/>
    <xf numFmtId="44" fontId="0" fillId="0" borderId="18" xfId="0" applyNumberFormat="1" applyBorder="1"/>
    <xf numFmtId="44" fontId="0" fillId="0" borderId="19" xfId="0" applyNumberFormat="1" applyBorder="1"/>
    <xf numFmtId="44" fontId="4" fillId="0" borderId="19" xfId="0" applyNumberFormat="1" applyFont="1" applyBorder="1"/>
    <xf numFmtId="0" fontId="4" fillId="8" borderId="25" xfId="3" applyFont="1" applyFill="1" applyBorder="1"/>
    <xf numFmtId="165" fontId="3" fillId="8" borderId="10" xfId="3" applyNumberFormat="1" applyFont="1" applyFill="1" applyBorder="1"/>
    <xf numFmtId="0" fontId="3" fillId="8" borderId="10" xfId="3" applyFont="1" applyFill="1" applyBorder="1"/>
    <xf numFmtId="165" fontId="3" fillId="8" borderId="9" xfId="3" applyNumberFormat="1" applyFont="1" applyFill="1" applyBorder="1"/>
    <xf numFmtId="0" fontId="0" fillId="0" borderId="21" xfId="0" applyBorder="1"/>
    <xf numFmtId="0" fontId="0" fillId="0" borderId="23" xfId="0" applyBorder="1"/>
    <xf numFmtId="44" fontId="4" fillId="0" borderId="24" xfId="0" applyNumberFormat="1" applyFont="1" applyBorder="1"/>
    <xf numFmtId="44" fontId="0" fillId="7" borderId="25" xfId="0" applyNumberFormat="1" applyFill="1" applyBorder="1"/>
    <xf numFmtId="44" fontId="0" fillId="7" borderId="9" xfId="0" applyNumberFormat="1" applyFill="1" applyBorder="1"/>
    <xf numFmtId="44" fontId="0" fillId="0" borderId="19" xfId="0" applyNumberFormat="1" applyBorder="1" applyAlignment="1">
      <alignment horizontal="right"/>
    </xf>
    <xf numFmtId="44" fontId="4" fillId="0" borderId="23" xfId="0" applyNumberFormat="1" applyFont="1" applyBorder="1"/>
    <xf numFmtId="44" fontId="4" fillId="0" borderId="18" xfId="0" applyNumberFormat="1" applyFont="1" applyBorder="1"/>
    <xf numFmtId="44" fontId="0" fillId="0" borderId="0" xfId="0" applyNumberFormat="1" applyAlignment="1">
      <alignment horizontal="right"/>
    </xf>
    <xf numFmtId="10" fontId="0" fillId="2" borderId="28" xfId="2" applyNumberFormat="1" applyFont="1" applyBorder="1"/>
    <xf numFmtId="0" fontId="3" fillId="3" borderId="26" xfId="3" applyFont="1" applyBorder="1" applyAlignment="1">
      <alignment horizontal="center"/>
    </xf>
    <xf numFmtId="0" fontId="3" fillId="3" borderId="6" xfId="3" applyFont="1" applyBorder="1" applyAlignment="1">
      <alignment horizontal="center"/>
    </xf>
    <xf numFmtId="0" fontId="1" fillId="7" borderId="7" xfId="5" applyFill="1" applyBorder="1"/>
    <xf numFmtId="0" fontId="1" fillId="7" borderId="20" xfId="5" applyFill="1" applyBorder="1"/>
    <xf numFmtId="0" fontId="0" fillId="7" borderId="10" xfId="0" applyFill="1" applyBorder="1"/>
    <xf numFmtId="0" fontId="0" fillId="0" borderId="7" xfId="0" applyBorder="1"/>
    <xf numFmtId="0" fontId="0" fillId="0" borderId="2" xfId="0" applyBorder="1"/>
    <xf numFmtId="0" fontId="0" fillId="7" borderId="0" xfId="0" applyFill="1" applyAlignment="1">
      <alignment horizontal="left" indent="1"/>
    </xf>
    <xf numFmtId="44" fontId="0" fillId="7" borderId="0" xfId="0" applyNumberFormat="1" applyFill="1"/>
    <xf numFmtId="0" fontId="0" fillId="7" borderId="4" xfId="0" applyFill="1" applyBorder="1" applyAlignment="1">
      <alignment horizontal="left" indent="1"/>
    </xf>
    <xf numFmtId="44" fontId="0" fillId="7" borderId="4" xfId="0" applyNumberFormat="1" applyFill="1" applyBorder="1"/>
    <xf numFmtId="0" fontId="0" fillId="7" borderId="4" xfId="0" applyFill="1" applyBorder="1"/>
    <xf numFmtId="0" fontId="0" fillId="0" borderId="29" xfId="0" applyBorder="1"/>
    <xf numFmtId="0" fontId="0" fillId="7" borderId="3" xfId="0" applyFill="1" applyBorder="1"/>
    <xf numFmtId="0" fontId="0" fillId="0" borderId="30" xfId="0" applyBorder="1"/>
    <xf numFmtId="0" fontId="0" fillId="7" borderId="31" xfId="0" applyFill="1" applyBorder="1"/>
    <xf numFmtId="0" fontId="0" fillId="0" borderId="32" xfId="0" applyBorder="1"/>
    <xf numFmtId="0" fontId="0" fillId="7" borderId="2" xfId="0" applyFill="1" applyBorder="1" applyAlignment="1">
      <alignment horizontal="left" indent="1"/>
    </xf>
    <xf numFmtId="44" fontId="0" fillId="7" borderId="2" xfId="0" applyNumberFormat="1" applyFill="1" applyBorder="1"/>
    <xf numFmtId="0" fontId="0" fillId="7" borderId="32" xfId="0" applyFill="1" applyBorder="1"/>
    <xf numFmtId="0" fontId="0" fillId="7" borderId="2" xfId="0" applyFill="1" applyBorder="1"/>
    <xf numFmtId="0" fontId="0" fillId="7" borderId="33" xfId="0" applyFill="1" applyBorder="1"/>
    <xf numFmtId="0" fontId="0" fillId="7" borderId="34" xfId="0" applyFill="1" applyBorder="1"/>
    <xf numFmtId="0" fontId="0" fillId="7" borderId="35" xfId="0" applyFill="1" applyBorder="1"/>
    <xf numFmtId="0" fontId="0" fillId="7" borderId="36" xfId="0" applyFill="1" applyBorder="1"/>
    <xf numFmtId="0" fontId="0" fillId="0" borderId="33" xfId="0" applyBorder="1"/>
    <xf numFmtId="0" fontId="0" fillId="4" borderId="31" xfId="0" applyFill="1" applyBorder="1"/>
    <xf numFmtId="0" fontId="0" fillId="4" borderId="3" xfId="0" applyFill="1" applyBorder="1"/>
    <xf numFmtId="44" fontId="4" fillId="0" borderId="30" xfId="0" applyNumberFormat="1" applyFont="1" applyBorder="1"/>
    <xf numFmtId="44" fontId="0" fillId="0" borderId="30" xfId="0" applyNumberFormat="1" applyBorder="1"/>
    <xf numFmtId="44" fontId="0" fillId="0" borderId="29" xfId="0" applyNumberFormat="1" applyBorder="1"/>
    <xf numFmtId="44" fontId="10" fillId="0" borderId="30" xfId="4" applyNumberFormat="1" applyBorder="1" applyAlignment="1">
      <alignment horizontal="right"/>
    </xf>
    <xf numFmtId="0" fontId="4" fillId="0" borderId="2" xfId="0" applyFont="1" applyBorder="1" applyAlignment="1">
      <alignment horizontal="left"/>
    </xf>
    <xf numFmtId="0" fontId="1" fillId="7" borderId="4" xfId="5" applyFill="1" applyBorder="1" applyAlignment="1">
      <alignment horizontal="left" indent="1"/>
    </xf>
    <xf numFmtId="44" fontId="1" fillId="7" borderId="4" xfId="5" applyNumberFormat="1" applyFill="1" applyBorder="1"/>
    <xf numFmtId="0" fontId="1" fillId="7" borderId="4" xfId="5" applyFill="1" applyBorder="1"/>
    <xf numFmtId="0" fontId="1" fillId="7" borderId="3" xfId="5" applyFill="1" applyBorder="1"/>
    <xf numFmtId="0" fontId="1" fillId="7" borderId="31" xfId="5" applyFill="1" applyBorder="1"/>
    <xf numFmtId="167" fontId="0" fillId="0" borderId="0" xfId="0" applyNumberFormat="1"/>
    <xf numFmtId="0" fontId="4" fillId="9" borderId="0" xfId="0" applyFont="1" applyFill="1"/>
    <xf numFmtId="44" fontId="4" fillId="9" borderId="0" xfId="0" applyNumberFormat="1" applyFont="1" applyFill="1"/>
    <xf numFmtId="164" fontId="0" fillId="0" borderId="0" xfId="0" applyNumberFormat="1"/>
    <xf numFmtId="165" fontId="3" fillId="3" borderId="0" xfId="3" applyNumberFormat="1" applyFont="1"/>
    <xf numFmtId="0" fontId="5" fillId="3" borderId="5" xfId="3" applyBorder="1"/>
    <xf numFmtId="0" fontId="10" fillId="0" borderId="0" xfId="4" applyAlignment="1">
      <alignment horizontal="left" indent="1"/>
    </xf>
    <xf numFmtId="44" fontId="10" fillId="0" borderId="0" xfId="4" applyNumberFormat="1"/>
    <xf numFmtId="10" fontId="10" fillId="0" borderId="0" xfId="4" applyNumberFormat="1"/>
    <xf numFmtId="9" fontId="0" fillId="0" borderId="0" xfId="0" applyNumberFormat="1"/>
    <xf numFmtId="2" fontId="0" fillId="2" borderId="1" xfId="2" applyNumberFormat="1" applyFont="1"/>
    <xf numFmtId="168" fontId="0" fillId="0" borderId="0" xfId="0" applyNumberFormat="1"/>
    <xf numFmtId="10" fontId="3" fillId="3" borderId="0" xfId="3" applyNumberFormat="1" applyFont="1"/>
    <xf numFmtId="0" fontId="3" fillId="3" borderId="5" xfId="3" applyFont="1" applyBorder="1"/>
    <xf numFmtId="0" fontId="11" fillId="0" borderId="0" xfId="0" applyFont="1"/>
    <xf numFmtId="10" fontId="4" fillId="9" borderId="0" xfId="0" applyNumberFormat="1" applyFont="1" applyFill="1"/>
    <xf numFmtId="44" fontId="3" fillId="10" borderId="0" xfId="3" applyNumberFormat="1" applyFont="1" applyFill="1"/>
    <xf numFmtId="164" fontId="3" fillId="3" borderId="0" xfId="3" applyNumberFormat="1" applyFont="1"/>
    <xf numFmtId="0" fontId="13" fillId="0" borderId="0" xfId="0" applyFont="1"/>
    <xf numFmtId="0" fontId="12" fillId="0" borderId="0" xfId="0" applyFont="1"/>
    <xf numFmtId="0" fontId="14" fillId="0" borderId="0" xfId="0" applyFont="1"/>
    <xf numFmtId="0" fontId="3" fillId="3" borderId="5" xfId="3" applyFont="1" applyBorder="1" applyAlignment="1">
      <alignment horizontal="center"/>
    </xf>
    <xf numFmtId="0" fontId="3" fillId="3" borderId="13" xfId="3" applyFont="1" applyBorder="1" applyAlignment="1">
      <alignment horizontal="center"/>
    </xf>
    <xf numFmtId="0" fontId="3" fillId="3" borderId="12" xfId="3" applyFont="1" applyBorder="1" applyAlignment="1">
      <alignment horizontal="center"/>
    </xf>
    <xf numFmtId="0" fontId="9" fillId="5" borderId="15" xfId="0" applyFont="1" applyFill="1" applyBorder="1" applyAlignment="1">
      <alignment horizontal="center"/>
    </xf>
    <xf numFmtId="0" fontId="9" fillId="5" borderId="14" xfId="0" applyFont="1" applyFill="1" applyBorder="1" applyAlignment="1">
      <alignment horizontal="center"/>
    </xf>
    <xf numFmtId="0" fontId="9" fillId="5" borderId="17" xfId="0" applyFont="1" applyFill="1" applyBorder="1" applyAlignment="1">
      <alignment horizontal="center"/>
    </xf>
    <xf numFmtId="0" fontId="3" fillId="3" borderId="11" xfId="3" applyFont="1" applyBorder="1" applyAlignment="1">
      <alignment horizontal="center"/>
    </xf>
    <xf numFmtId="0" fontId="3" fillId="3" borderId="0" xfId="3" applyFont="1" applyBorder="1" applyAlignment="1">
      <alignment horizontal="center"/>
    </xf>
    <xf numFmtId="2" fontId="0" fillId="0" borderId="0" xfId="0" applyNumberFormat="1"/>
    <xf numFmtId="44" fontId="13" fillId="0" borderId="0" xfId="0" applyNumberFormat="1" applyFont="1"/>
    <xf numFmtId="44" fontId="12" fillId="0" borderId="0" xfId="0" applyNumberFormat="1" applyFont="1"/>
    <xf numFmtId="10" fontId="13" fillId="0" borderId="0" xfId="0" applyNumberFormat="1" applyFont="1"/>
    <xf numFmtId="164" fontId="4" fillId="0" borderId="0" xfId="0" applyNumberFormat="1" applyFont="1"/>
  </cellXfs>
  <cellStyles count="6">
    <cellStyle name="20% - Accent1" xfId="5" builtinId="30"/>
    <cellStyle name="Accent1" xfId="3" builtinId="29"/>
    <cellStyle name="Explanatory Text" xfId="4" builtinId="53"/>
    <cellStyle name="Normal" xfId="0" builtinId="0"/>
    <cellStyle name="Note" xfId="2" builtinId="10"/>
    <cellStyle name="Title" xfId="1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Calibri">
      <a:maj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8A623-E9D8-964C-9F17-F46717717AA6}">
  <dimension ref="B2:T239"/>
  <sheetViews>
    <sheetView showGridLines="0" workbookViewId="0">
      <selection activeCell="F7" sqref="F7"/>
    </sheetView>
  </sheetViews>
  <sheetFormatPr baseColWidth="10" defaultRowHeight="16" x14ac:dyDescent="0.2"/>
  <cols>
    <col min="2" max="2" width="43.33203125" customWidth="1"/>
    <col min="3" max="3" width="18.6640625" customWidth="1"/>
    <col min="4" max="4" width="18.33203125" customWidth="1"/>
    <col min="5" max="5" width="21.83203125" customWidth="1"/>
    <col min="6" max="6" width="18" customWidth="1"/>
    <col min="7" max="7" width="17.5" customWidth="1"/>
    <col min="8" max="8" width="15.5" customWidth="1"/>
    <col min="9" max="9" width="15.83203125" customWidth="1"/>
    <col min="10" max="10" width="15.1640625" customWidth="1"/>
    <col min="18" max="18" width="42.83203125" customWidth="1"/>
    <col min="19" max="19" width="15.1640625" customWidth="1"/>
    <col min="20" max="20" width="16.33203125" customWidth="1"/>
  </cols>
  <sheetData>
    <row r="2" spans="2:20" ht="19" x14ac:dyDescent="0.25">
      <c r="B2" s="15" t="s">
        <v>64</v>
      </c>
    </row>
    <row r="3" spans="2:20" ht="19" x14ac:dyDescent="0.25">
      <c r="B3" s="15"/>
    </row>
    <row r="4" spans="2:20" x14ac:dyDescent="0.2">
      <c r="B4" t="s">
        <v>158</v>
      </c>
      <c r="C4" s="27">
        <v>1000000</v>
      </c>
      <c r="E4" t="s">
        <v>212</v>
      </c>
      <c r="F4" s="26">
        <v>6.4000000000000001E-2</v>
      </c>
    </row>
    <row r="5" spans="2:20" x14ac:dyDescent="0.2">
      <c r="B5" t="s">
        <v>157</v>
      </c>
      <c r="C5" s="27">
        <f>3603750474/Units</f>
        <v>3603.7504739999999</v>
      </c>
      <c r="E5" t="s">
        <v>261</v>
      </c>
      <c r="F5" s="26">
        <v>0.21</v>
      </c>
    </row>
    <row r="6" spans="2:20" x14ac:dyDescent="0.2">
      <c r="B6" t="s">
        <v>160</v>
      </c>
      <c r="C6" s="28">
        <v>27.33</v>
      </c>
      <c r="E6" t="s">
        <v>275</v>
      </c>
      <c r="F6" s="6">
        <f>ParentCo_Market_Cap-F75+F101+F110-F82</f>
        <v>175318.18054746243</v>
      </c>
    </row>
    <row r="7" spans="2:20" x14ac:dyDescent="0.2">
      <c r="B7" t="s">
        <v>268</v>
      </c>
      <c r="C7" s="28">
        <f>Parent_Share_Price*Parent_Shares</f>
        <v>98490.500454419991</v>
      </c>
      <c r="E7" t="s">
        <v>354</v>
      </c>
      <c r="F7" s="26">
        <v>0.3</v>
      </c>
    </row>
    <row r="9" spans="2:20" x14ac:dyDescent="0.2">
      <c r="B9" s="2"/>
      <c r="C9" s="126" t="s">
        <v>15</v>
      </c>
      <c r="D9" s="126"/>
      <c r="E9" s="127"/>
      <c r="F9" s="128" t="s">
        <v>125</v>
      </c>
      <c r="G9" s="126"/>
      <c r="H9" s="126"/>
      <c r="I9" s="126"/>
      <c r="J9" s="126"/>
      <c r="R9" s="2"/>
      <c r="S9" s="126" t="s">
        <v>108</v>
      </c>
      <c r="T9" s="126"/>
    </row>
    <row r="10" spans="2:20" x14ac:dyDescent="0.2">
      <c r="B10" s="10" t="s">
        <v>65</v>
      </c>
      <c r="C10" s="10">
        <v>2022</v>
      </c>
      <c r="D10" s="10">
        <v>2023</v>
      </c>
      <c r="E10" s="10">
        <v>2024</v>
      </c>
      <c r="F10" s="22">
        <v>2025</v>
      </c>
      <c r="G10" s="21">
        <f>F10+1</f>
        <v>2026</v>
      </c>
      <c r="H10" s="21">
        <f t="shared" ref="H10:J10" si="0">G10+1</f>
        <v>2027</v>
      </c>
      <c r="I10" s="21">
        <f t="shared" si="0"/>
        <v>2028</v>
      </c>
      <c r="J10" s="21">
        <f t="shared" si="0"/>
        <v>2029</v>
      </c>
      <c r="R10" s="10" t="s">
        <v>111</v>
      </c>
      <c r="S10" s="10" t="s">
        <v>109</v>
      </c>
      <c r="T10" s="10" t="s">
        <v>110</v>
      </c>
    </row>
    <row r="11" spans="2:20" x14ac:dyDescent="0.2">
      <c r="B11" s="7" t="s">
        <v>4</v>
      </c>
      <c r="C11" s="6">
        <v>121427</v>
      </c>
      <c r="D11" s="6">
        <v>121572</v>
      </c>
      <c r="E11" s="6">
        <v>123731</v>
      </c>
      <c r="F11" s="6">
        <f>F146</f>
        <v>125586.96499999998</v>
      </c>
      <c r="G11" s="6">
        <f t="shared" ref="G11:J11" si="1">G146</f>
        <v>127470.76947499996</v>
      </c>
      <c r="H11" s="6">
        <f t="shared" si="1"/>
        <v>129382.83101712495</v>
      </c>
      <c r="I11" s="6">
        <f t="shared" si="1"/>
        <v>131323.57348238182</v>
      </c>
      <c r="J11" s="6">
        <f t="shared" si="1"/>
        <v>133293.42708461752</v>
      </c>
      <c r="R11" s="7" t="s">
        <v>4</v>
      </c>
      <c r="S11" s="6">
        <v>91817</v>
      </c>
      <c r="T11" s="6">
        <v>91397</v>
      </c>
    </row>
    <row r="12" spans="2:20" x14ac:dyDescent="0.2">
      <c r="B12" s="7" t="s">
        <v>5</v>
      </c>
      <c r="C12" s="6">
        <v>-38213</v>
      </c>
      <c r="D12" s="6">
        <v>-36762</v>
      </c>
      <c r="E12" s="6">
        <v>-37026</v>
      </c>
      <c r="F12" s="6">
        <f>F13-F11</f>
        <v>-37676.089500000002</v>
      </c>
      <c r="G12" s="6">
        <f t="shared" ref="G12:J12" si="2">G13-G11</f>
        <v>-38241.230842499994</v>
      </c>
      <c r="H12" s="6">
        <f t="shared" si="2"/>
        <v>-38814.849305137483</v>
      </c>
      <c r="I12" s="6">
        <f t="shared" si="2"/>
        <v>-39397.072044714558</v>
      </c>
      <c r="J12" s="6">
        <f t="shared" si="2"/>
        <v>-39988.028125385259</v>
      </c>
      <c r="R12" s="7" t="s">
        <v>5</v>
      </c>
      <c r="S12" s="6">
        <v>-27000</v>
      </c>
      <c r="T12" s="6">
        <v>-24646</v>
      </c>
    </row>
    <row r="13" spans="2:20" x14ac:dyDescent="0.2">
      <c r="B13" s="16" t="s">
        <v>6</v>
      </c>
      <c r="C13" s="17">
        <f t="shared" ref="C13:D13" si="3">SUM(C11:C12)</f>
        <v>83214</v>
      </c>
      <c r="D13" s="17">
        <f t="shared" si="3"/>
        <v>84810</v>
      </c>
      <c r="E13" s="17">
        <f>SUM(E11:E12)</f>
        <v>86705</v>
      </c>
      <c r="F13" s="17">
        <f>F149</f>
        <v>87910.87549999998</v>
      </c>
      <c r="G13" s="17">
        <f t="shared" ref="G13:J13" si="4">G149</f>
        <v>89229.538632499971</v>
      </c>
      <c r="H13" s="17">
        <f t="shared" si="4"/>
        <v>90567.981711987464</v>
      </c>
      <c r="I13" s="17">
        <f t="shared" si="4"/>
        <v>91926.501437667263</v>
      </c>
      <c r="J13" s="17">
        <f t="shared" si="4"/>
        <v>93305.398959232261</v>
      </c>
      <c r="R13" s="16" t="s">
        <v>6</v>
      </c>
      <c r="S13" s="17">
        <f>SUM(S11:S12)</f>
        <v>64817</v>
      </c>
      <c r="T13" s="17">
        <f>SUM(T11:T12)</f>
        <v>66751</v>
      </c>
    </row>
    <row r="15" spans="2:20" x14ac:dyDescent="0.2">
      <c r="B15" s="4" t="s">
        <v>2</v>
      </c>
      <c r="R15" s="4" t="s">
        <v>2</v>
      </c>
    </row>
    <row r="16" spans="2:20" x14ac:dyDescent="0.2">
      <c r="B16" s="7" t="s">
        <v>66</v>
      </c>
      <c r="C16" s="6">
        <v>-8506</v>
      </c>
      <c r="D16" s="6">
        <v>-7971</v>
      </c>
      <c r="E16" s="6">
        <v>-8073</v>
      </c>
      <c r="F16" s="6">
        <f>-F152</f>
        <v>-8163.152724999999</v>
      </c>
      <c r="G16" s="6">
        <f t="shared" ref="G16:J16" si="5">-G152</f>
        <v>-8285.6000158749976</v>
      </c>
      <c r="H16" s="6">
        <f t="shared" si="5"/>
        <v>-8409.8840161131211</v>
      </c>
      <c r="I16" s="6">
        <f t="shared" si="5"/>
        <v>-8536.0322763548193</v>
      </c>
      <c r="J16" s="6">
        <f t="shared" si="5"/>
        <v>-8664.0727605001393</v>
      </c>
      <c r="R16" s="7" t="s">
        <v>66</v>
      </c>
      <c r="S16" s="6">
        <v>-5929</v>
      </c>
      <c r="T16" s="6">
        <v>-6435</v>
      </c>
    </row>
    <row r="17" spans="2:20" x14ac:dyDescent="0.2">
      <c r="B17" s="7" t="s">
        <v>67</v>
      </c>
      <c r="C17" s="6">
        <v>-38263</v>
      </c>
      <c r="D17" s="6">
        <v>-39190</v>
      </c>
      <c r="E17" s="6">
        <v>-40533</v>
      </c>
      <c r="F17" s="6">
        <f>-F155</f>
        <v>-40399.704023743092</v>
      </c>
      <c r="G17" s="6">
        <f t="shared" ref="G17:J17" si="6">-G155</f>
        <v>-41005.699584099231</v>
      </c>
      <c r="H17" s="6">
        <f t="shared" si="6"/>
        <v>-41620.785077860717</v>
      </c>
      <c r="I17" s="6">
        <f t="shared" si="6"/>
        <v>-42245.096854028627</v>
      </c>
      <c r="J17" s="6">
        <f t="shared" si="6"/>
        <v>-42878.773306839052</v>
      </c>
      <c r="R17" s="7" t="s">
        <v>112</v>
      </c>
      <c r="S17" s="6">
        <v>-29615</v>
      </c>
      <c r="T17" s="6">
        <v>-31109</v>
      </c>
    </row>
    <row r="18" spans="2:20" x14ac:dyDescent="0.2">
      <c r="B18" s="7" t="s">
        <v>68</v>
      </c>
      <c r="C18" s="6">
        <v>-8724</v>
      </c>
      <c r="D18" s="6">
        <v>-8854</v>
      </c>
      <c r="E18" s="6">
        <v>-8729</v>
      </c>
      <c r="F18" s="6">
        <f>-F158</f>
        <v>-9009.7390997729926</v>
      </c>
      <c r="G18" s="6">
        <f t="shared" ref="G18:J18" si="7">-G158</f>
        <v>-9144.8851862695865</v>
      </c>
      <c r="H18" s="6">
        <f t="shared" si="7"/>
        <v>-9282.058464063628</v>
      </c>
      <c r="I18" s="6">
        <f t="shared" si="7"/>
        <v>-9421.2893410245833</v>
      </c>
      <c r="J18" s="6">
        <f t="shared" si="7"/>
        <v>-9562.6086811399491</v>
      </c>
      <c r="R18" s="7" t="s">
        <v>68</v>
      </c>
      <c r="S18" s="6">
        <v>-6548</v>
      </c>
      <c r="T18" s="6">
        <v>-6934</v>
      </c>
    </row>
    <row r="19" spans="2:20" x14ac:dyDescent="0.2">
      <c r="B19" s="7" t="s">
        <v>69</v>
      </c>
      <c r="C19" s="6">
        <v>-5097</v>
      </c>
      <c r="D19" s="6">
        <v>-5482</v>
      </c>
      <c r="E19" s="6">
        <v>-6072</v>
      </c>
      <c r="F19" s="6">
        <f>-F161</f>
        <v>-6288.6669649999994</v>
      </c>
      <c r="G19" s="6">
        <f t="shared" ref="G19:J19" si="8">-G161</f>
        <v>-6510.4677389499984</v>
      </c>
      <c r="H19" s="6">
        <f t="shared" si="8"/>
        <v>-6737.5075860513725</v>
      </c>
      <c r="I19" s="6">
        <f t="shared" si="8"/>
        <v>-6969.8937733245248</v>
      </c>
      <c r="J19" s="6">
        <f t="shared" si="8"/>
        <v>-7207.7356070090091</v>
      </c>
      <c r="R19" s="7" t="s">
        <v>69</v>
      </c>
      <c r="S19" s="6">
        <v>-4421</v>
      </c>
      <c r="T19" s="6">
        <v>-5089</v>
      </c>
    </row>
    <row r="20" spans="2:20" x14ac:dyDescent="0.2">
      <c r="B20" s="7" t="s">
        <v>70</v>
      </c>
      <c r="C20" s="6">
        <v>-8583</v>
      </c>
      <c r="D20" s="6">
        <v>0</v>
      </c>
      <c r="E20" s="6">
        <v>0</v>
      </c>
      <c r="F20" s="6">
        <f>F164</f>
        <v>0</v>
      </c>
      <c r="G20" s="6">
        <f t="shared" ref="G20:J20" si="9">G164</f>
        <v>0</v>
      </c>
      <c r="H20" s="6">
        <f t="shared" si="9"/>
        <v>0</v>
      </c>
      <c r="I20" s="6">
        <f t="shared" si="9"/>
        <v>0</v>
      </c>
      <c r="J20" s="6">
        <f t="shared" si="9"/>
        <v>0</v>
      </c>
      <c r="R20" s="7" t="s">
        <v>115</v>
      </c>
      <c r="S20" s="6">
        <v>0</v>
      </c>
      <c r="T20" s="6">
        <v>0</v>
      </c>
    </row>
    <row r="21" spans="2:20" x14ac:dyDescent="0.2">
      <c r="B21" s="16" t="s">
        <v>71</v>
      </c>
      <c r="C21" s="17">
        <f>SUM(C16:C20)</f>
        <v>-69173</v>
      </c>
      <c r="D21" s="17">
        <f t="shared" ref="D21:J21" si="10">SUM(D16:D20)</f>
        <v>-61497</v>
      </c>
      <c r="E21" s="17">
        <f t="shared" si="10"/>
        <v>-63407</v>
      </c>
      <c r="F21" s="17">
        <f t="shared" si="10"/>
        <v>-63861.262813516078</v>
      </c>
      <c r="G21" s="17">
        <f t="shared" si="10"/>
        <v>-64946.652525193815</v>
      </c>
      <c r="H21" s="17">
        <f t="shared" si="10"/>
        <v>-66050.235144088845</v>
      </c>
      <c r="I21" s="17">
        <f t="shared" si="10"/>
        <v>-67172.312244732544</v>
      </c>
      <c r="J21" s="17">
        <f t="shared" si="10"/>
        <v>-68313.190355488143</v>
      </c>
      <c r="R21" s="16" t="s">
        <v>71</v>
      </c>
      <c r="S21" s="17">
        <f>SUM(S16:S20)</f>
        <v>-46513</v>
      </c>
      <c r="T21" s="17">
        <f>SUM(T16:T20)</f>
        <v>-49567</v>
      </c>
    </row>
    <row r="23" spans="2:20" x14ac:dyDescent="0.2">
      <c r="B23" s="4" t="s">
        <v>3</v>
      </c>
      <c r="C23" s="5">
        <f>C21+C13</f>
        <v>14041</v>
      </c>
      <c r="D23" s="5">
        <f t="shared" ref="D23:F23" si="11">D21+D13</f>
        <v>23313</v>
      </c>
      <c r="E23" s="5">
        <f t="shared" si="11"/>
        <v>23298</v>
      </c>
      <c r="F23" s="5">
        <f t="shared" si="11"/>
        <v>24049.612686483903</v>
      </c>
      <c r="G23" s="5">
        <f t="shared" ref="G23:J23" si="12">G21+G13</f>
        <v>24282.886107306156</v>
      </c>
      <c r="H23" s="5">
        <f t="shared" si="12"/>
        <v>24517.746567898619</v>
      </c>
      <c r="I23" s="5">
        <f t="shared" si="12"/>
        <v>24754.189192934718</v>
      </c>
      <c r="J23" s="5">
        <f t="shared" si="12"/>
        <v>24992.208603744119</v>
      </c>
      <c r="R23" s="4" t="s">
        <v>3</v>
      </c>
      <c r="S23" s="5">
        <f>S13+S21</f>
        <v>18304</v>
      </c>
      <c r="T23" s="5">
        <f>T13+T21</f>
        <v>17184</v>
      </c>
    </row>
    <row r="24" spans="2:20" x14ac:dyDescent="0.2">
      <c r="B24" s="7" t="s">
        <v>72</v>
      </c>
      <c r="C24" s="6">
        <v>-3896</v>
      </c>
      <c r="D24" s="6">
        <v>-4087</v>
      </c>
      <c r="E24" s="6">
        <v>-4134</v>
      </c>
      <c r="F24" s="6">
        <f>-F237</f>
        <v>-6341.9520000000002</v>
      </c>
      <c r="G24" s="6">
        <f t="shared" ref="G24:J24" si="13">-G237</f>
        <v>-6028.3519999999999</v>
      </c>
      <c r="H24" s="6">
        <f t="shared" si="13"/>
        <v>-5714.7520000000004</v>
      </c>
      <c r="I24" s="6">
        <f t="shared" si="13"/>
        <v>-5349.9520000000002</v>
      </c>
      <c r="J24" s="6">
        <f t="shared" si="13"/>
        <v>-4901.9520000000002</v>
      </c>
      <c r="R24" s="7" t="s">
        <v>72</v>
      </c>
      <c r="S24" s="6">
        <v>-3065</v>
      </c>
      <c r="T24" s="6">
        <v>-3283</v>
      </c>
    </row>
    <row r="25" spans="2:20" x14ac:dyDescent="0.2">
      <c r="B25" s="7" t="s">
        <v>12</v>
      </c>
      <c r="C25" s="6">
        <v>-861</v>
      </c>
      <c r="D25" s="6">
        <v>1252</v>
      </c>
      <c r="E25" s="6">
        <v>-490</v>
      </c>
      <c r="F25" s="6">
        <f>F171</f>
        <v>-33</v>
      </c>
      <c r="G25" s="6">
        <f t="shared" ref="G25:J25" si="14">G171</f>
        <v>-33</v>
      </c>
      <c r="H25" s="6">
        <f t="shared" si="14"/>
        <v>-33</v>
      </c>
      <c r="I25" s="6">
        <f t="shared" si="14"/>
        <v>-33</v>
      </c>
      <c r="J25" s="6">
        <f t="shared" si="14"/>
        <v>-33</v>
      </c>
      <c r="R25" s="7" t="s">
        <v>12</v>
      </c>
      <c r="S25" s="6">
        <v>-140</v>
      </c>
      <c r="T25" s="6">
        <v>9705</v>
      </c>
    </row>
    <row r="26" spans="2:20" x14ac:dyDescent="0.2">
      <c r="B26" s="16" t="s">
        <v>73</v>
      </c>
      <c r="C26" s="17">
        <f>SUM(C23:C25)</f>
        <v>9284</v>
      </c>
      <c r="D26" s="17">
        <f t="shared" ref="D26:F26" si="15">SUM(D23:D25)</f>
        <v>20478</v>
      </c>
      <c r="E26" s="17">
        <f t="shared" si="15"/>
        <v>18674</v>
      </c>
      <c r="F26" s="17">
        <f t="shared" si="15"/>
        <v>17674.660686483901</v>
      </c>
      <c r="G26" s="17">
        <f t="shared" ref="G26" si="16">SUM(G23:G25)</f>
        <v>18221.534107306157</v>
      </c>
      <c r="H26" s="17">
        <f t="shared" ref="H26" si="17">SUM(H23:H25)</f>
        <v>18769.994567898619</v>
      </c>
      <c r="I26" s="17">
        <f t="shared" ref="I26" si="18">SUM(I23:I25)</f>
        <v>19371.237192934717</v>
      </c>
      <c r="J26" s="17">
        <f t="shared" ref="J26" si="19">SUM(J23:J25)</f>
        <v>20057.256603744117</v>
      </c>
      <c r="R26" s="16" t="s">
        <v>9</v>
      </c>
      <c r="S26" s="17">
        <f>SUM(S23:S25)</f>
        <v>15099</v>
      </c>
      <c r="T26" s="17">
        <f>SUM(T23:T25)</f>
        <v>23606</v>
      </c>
    </row>
    <row r="27" spans="2:20" x14ac:dyDescent="0.2">
      <c r="B27" s="7" t="s">
        <v>10</v>
      </c>
      <c r="C27" s="6">
        <v>-4359</v>
      </c>
      <c r="D27" s="6">
        <v>-5371</v>
      </c>
      <c r="E27" s="6">
        <v>-2796</v>
      </c>
      <c r="F27" s="6">
        <f>-F166</f>
        <v>-3711.6787441616193</v>
      </c>
      <c r="G27" s="6">
        <f t="shared" ref="G27:J27" si="20">-G166</f>
        <v>-3826.5221625342929</v>
      </c>
      <c r="H27" s="6">
        <f t="shared" si="20"/>
        <v>-3941.6988592587099</v>
      </c>
      <c r="I27" s="6">
        <f t="shared" si="20"/>
        <v>-4067.9598105162904</v>
      </c>
      <c r="J27" s="6">
        <f t="shared" si="20"/>
        <v>-4212.0238867862645</v>
      </c>
      <c r="R27" s="7" t="s">
        <v>113</v>
      </c>
      <c r="S27" s="6">
        <v>-3906</v>
      </c>
      <c r="T27" s="6">
        <v>-6017</v>
      </c>
    </row>
    <row r="28" spans="2:20" x14ac:dyDescent="0.2">
      <c r="B28" s="16" t="s">
        <v>11</v>
      </c>
      <c r="C28" s="17">
        <f>SUM(C26:C27)</f>
        <v>4925</v>
      </c>
      <c r="D28" s="17">
        <f t="shared" ref="D28:F28" si="21">SUM(D26:D27)</f>
        <v>15107</v>
      </c>
      <c r="E28" s="17">
        <f t="shared" si="21"/>
        <v>15878</v>
      </c>
      <c r="F28" s="17">
        <f t="shared" si="21"/>
        <v>13962.981942322282</v>
      </c>
      <c r="G28" s="17">
        <f t="shared" ref="G28" si="22">SUM(G26:G27)</f>
        <v>14395.011944771864</v>
      </c>
      <c r="H28" s="17">
        <f t="shared" ref="H28" si="23">SUM(H26:H27)</f>
        <v>14828.295708639909</v>
      </c>
      <c r="I28" s="17">
        <f t="shared" ref="I28" si="24">SUM(I26:I27)</f>
        <v>15303.277382418426</v>
      </c>
      <c r="J28" s="17">
        <f t="shared" ref="J28" si="25">SUM(J26:J27)</f>
        <v>15845.232716957853</v>
      </c>
      <c r="R28" s="16" t="s">
        <v>11</v>
      </c>
      <c r="S28" s="17">
        <f>SUM(S26:S27)</f>
        <v>11193</v>
      </c>
      <c r="T28" s="17">
        <f>SUM(T26:T27)</f>
        <v>17589</v>
      </c>
    </row>
    <row r="29" spans="2:20" x14ac:dyDescent="0.2">
      <c r="B29" s="7" t="s">
        <v>74</v>
      </c>
      <c r="C29" s="6">
        <v>-445</v>
      </c>
      <c r="D29" s="6">
        <v>-282</v>
      </c>
      <c r="E29" s="6">
        <v>-315</v>
      </c>
      <c r="F29" s="6">
        <f>F169</f>
        <v>-347.33333333333331</v>
      </c>
      <c r="G29" s="6">
        <f t="shared" ref="G29:J29" si="26">G169</f>
        <v>-347.33333333333331</v>
      </c>
      <c r="H29" s="6">
        <f t="shared" si="26"/>
        <v>-347.33333333333331</v>
      </c>
      <c r="I29" s="6">
        <f t="shared" si="26"/>
        <v>-347.33333333333331</v>
      </c>
      <c r="J29" s="6">
        <f t="shared" si="26"/>
        <v>-347.33333333333331</v>
      </c>
      <c r="R29" s="7" t="s">
        <v>114</v>
      </c>
      <c r="S29" s="6">
        <v>222</v>
      </c>
      <c r="T29" s="6">
        <v>241</v>
      </c>
    </row>
    <row r="30" spans="2:20" x14ac:dyDescent="0.2">
      <c r="B30" s="16" t="s">
        <v>14</v>
      </c>
      <c r="C30" s="17">
        <f t="shared" ref="C30:D30" si="27">SUM(C28:C29)</f>
        <v>4480</v>
      </c>
      <c r="D30" s="17">
        <f t="shared" si="27"/>
        <v>14825</v>
      </c>
      <c r="E30" s="17">
        <f>SUM(E28:E29)</f>
        <v>15563</v>
      </c>
      <c r="F30" s="17">
        <f>SUM(F28:F29)</f>
        <v>13615.648608988948</v>
      </c>
      <c r="G30" s="17">
        <f t="shared" ref="G30:J30" si="28">SUM(G28:G29)</f>
        <v>14047.67861143853</v>
      </c>
      <c r="H30" s="17">
        <f t="shared" si="28"/>
        <v>14480.962375306575</v>
      </c>
      <c r="I30" s="17">
        <f t="shared" si="28"/>
        <v>14955.944049085092</v>
      </c>
      <c r="J30" s="17">
        <f t="shared" si="28"/>
        <v>15497.899383624519</v>
      </c>
      <c r="R30" s="16" t="s">
        <v>14</v>
      </c>
      <c r="S30" s="17">
        <f>SUM(S28:S29)</f>
        <v>11415</v>
      </c>
      <c r="T30" s="17">
        <f>SUM(T28:T29)</f>
        <v>17830</v>
      </c>
    </row>
    <row r="32" spans="2:20" x14ac:dyDescent="0.2">
      <c r="B32" s="2"/>
      <c r="C32" s="126" t="s">
        <v>15</v>
      </c>
      <c r="D32" s="126"/>
      <c r="E32" s="127"/>
      <c r="F32" s="128" t="s">
        <v>125</v>
      </c>
      <c r="G32" s="126"/>
      <c r="H32" s="126"/>
      <c r="I32" s="126"/>
      <c r="J32" s="126"/>
      <c r="R32" s="2"/>
      <c r="S32" s="126" t="s">
        <v>108</v>
      </c>
      <c r="T32" s="126"/>
    </row>
    <row r="33" spans="2:20" x14ac:dyDescent="0.2">
      <c r="B33" s="10" t="s">
        <v>75</v>
      </c>
      <c r="C33" s="10">
        <v>2022</v>
      </c>
      <c r="D33" s="10">
        <v>2023</v>
      </c>
      <c r="E33" s="10">
        <v>2024</v>
      </c>
      <c r="F33" s="22">
        <v>2025</v>
      </c>
      <c r="G33" s="21">
        <f>F33+1</f>
        <v>2026</v>
      </c>
      <c r="H33" s="21">
        <f t="shared" ref="H33:J33" si="29">G33+1</f>
        <v>2027</v>
      </c>
      <c r="I33" s="21">
        <f t="shared" si="29"/>
        <v>2028</v>
      </c>
      <c r="J33" s="21">
        <f t="shared" si="29"/>
        <v>2029</v>
      </c>
      <c r="R33" s="10" t="s">
        <v>116</v>
      </c>
      <c r="S33" s="10" t="s">
        <v>109</v>
      </c>
      <c r="T33" s="10" t="s">
        <v>110</v>
      </c>
    </row>
    <row r="34" spans="2:20" x14ac:dyDescent="0.2">
      <c r="B34" s="4" t="s">
        <v>11</v>
      </c>
      <c r="C34" s="5">
        <f>C28</f>
        <v>4925</v>
      </c>
      <c r="D34" s="5">
        <f t="shared" ref="D34:J34" si="30">D28</f>
        <v>15107</v>
      </c>
      <c r="E34" s="5">
        <f t="shared" si="30"/>
        <v>15878</v>
      </c>
      <c r="F34" s="5">
        <f t="shared" si="30"/>
        <v>13962.981942322282</v>
      </c>
      <c r="G34" s="5">
        <f t="shared" si="30"/>
        <v>14395.011944771864</v>
      </c>
      <c r="H34" s="5">
        <f t="shared" si="30"/>
        <v>14828.295708639909</v>
      </c>
      <c r="I34" s="5">
        <f t="shared" si="30"/>
        <v>15303.277382418426</v>
      </c>
      <c r="J34" s="5">
        <f t="shared" si="30"/>
        <v>15845.232716957853</v>
      </c>
      <c r="R34" s="4" t="s">
        <v>11</v>
      </c>
      <c r="S34" s="5">
        <f>S28</f>
        <v>11193</v>
      </c>
      <c r="T34" s="5">
        <f>T28</f>
        <v>17589</v>
      </c>
    </row>
    <row r="35" spans="2:20" x14ac:dyDescent="0.2">
      <c r="B35" t="s">
        <v>76</v>
      </c>
      <c r="R35" t="s">
        <v>117</v>
      </c>
    </row>
    <row r="36" spans="2:20" x14ac:dyDescent="0.2">
      <c r="B36" s="7" t="s">
        <v>77</v>
      </c>
      <c r="C36" s="6">
        <f>-C18</f>
        <v>8724</v>
      </c>
      <c r="D36" s="6">
        <f t="shared" ref="D36:E36" si="31">-D18</f>
        <v>8854</v>
      </c>
      <c r="E36" s="6">
        <f t="shared" si="31"/>
        <v>8729</v>
      </c>
      <c r="F36" s="6">
        <f t="shared" ref="F36:J36" si="32">-F18</f>
        <v>9009.7390997729926</v>
      </c>
      <c r="G36" s="6">
        <f t="shared" si="32"/>
        <v>9144.8851862695865</v>
      </c>
      <c r="H36" s="6">
        <f t="shared" si="32"/>
        <v>9282.058464063628</v>
      </c>
      <c r="I36" s="6">
        <f t="shared" si="32"/>
        <v>9421.2893410245833</v>
      </c>
      <c r="J36" s="6">
        <f t="shared" si="32"/>
        <v>9562.6086811399491</v>
      </c>
      <c r="R36" s="7" t="str">
        <f>B36</f>
        <v>(+) Depreciation</v>
      </c>
      <c r="S36" s="6">
        <f>-S18</f>
        <v>6548</v>
      </c>
      <c r="T36" s="6">
        <f t="shared" ref="T36:T37" si="33">-T18</f>
        <v>6934</v>
      </c>
    </row>
    <row r="37" spans="2:20" x14ac:dyDescent="0.2">
      <c r="B37" s="7" t="s">
        <v>78</v>
      </c>
      <c r="C37" s="6">
        <f>-C19</f>
        <v>5097</v>
      </c>
      <c r="D37" s="6">
        <f t="shared" ref="D37:E37" si="34">-D19</f>
        <v>5482</v>
      </c>
      <c r="E37" s="6">
        <f t="shared" si="34"/>
        <v>6072</v>
      </c>
      <c r="F37" s="6">
        <f t="shared" ref="F37:J37" si="35">-F19</f>
        <v>6288.6669649999994</v>
      </c>
      <c r="G37" s="6">
        <f t="shared" si="35"/>
        <v>6510.4677389499984</v>
      </c>
      <c r="H37" s="6">
        <f t="shared" si="35"/>
        <v>6737.5075860513725</v>
      </c>
      <c r="I37" s="6">
        <f t="shared" si="35"/>
        <v>6969.8937733245248</v>
      </c>
      <c r="J37" s="6">
        <f t="shared" si="35"/>
        <v>7207.7356070090091</v>
      </c>
      <c r="R37" s="7" t="str">
        <f t="shared" ref="R37:R42" si="36">B37</f>
        <v>(+) Amortization</v>
      </c>
      <c r="S37" s="6">
        <f>-S19</f>
        <v>4421</v>
      </c>
      <c r="T37" s="6">
        <f t="shared" si="33"/>
        <v>5089</v>
      </c>
    </row>
    <row r="38" spans="2:20" x14ac:dyDescent="0.2">
      <c r="B38" s="7" t="s">
        <v>79</v>
      </c>
      <c r="C38" s="6">
        <f>-C20</f>
        <v>8583</v>
      </c>
      <c r="D38" s="6">
        <f t="shared" ref="D38:E38" si="37">-D20</f>
        <v>0</v>
      </c>
      <c r="E38" s="6">
        <f t="shared" si="37"/>
        <v>0</v>
      </c>
      <c r="F38" s="6">
        <f>-F20</f>
        <v>0</v>
      </c>
      <c r="G38" s="6">
        <f t="shared" ref="G38:J38" si="38">-G20</f>
        <v>0</v>
      </c>
      <c r="H38" s="6">
        <f t="shared" si="38"/>
        <v>0</v>
      </c>
      <c r="I38" s="6">
        <f t="shared" si="38"/>
        <v>0</v>
      </c>
      <c r="J38" s="6">
        <f t="shared" si="38"/>
        <v>0</v>
      </c>
      <c r="R38" s="7" t="str">
        <f t="shared" si="36"/>
        <v>(+) Impairment</v>
      </c>
      <c r="S38" s="6">
        <f>-S20</f>
        <v>0</v>
      </c>
      <c r="T38" s="6">
        <f>-T20</f>
        <v>0</v>
      </c>
    </row>
    <row r="39" spans="2:20" x14ac:dyDescent="0.2">
      <c r="B39" s="7" t="s">
        <v>80</v>
      </c>
      <c r="C39" s="6">
        <v>1336</v>
      </c>
      <c r="D39" s="6">
        <v>1241</v>
      </c>
      <c r="E39" s="6">
        <v>1288</v>
      </c>
      <c r="F39" s="6">
        <f>F175</f>
        <v>1288.3333333333333</v>
      </c>
      <c r="G39" s="6">
        <f t="shared" ref="G39:J39" si="39">G175</f>
        <v>1288.3333333333333</v>
      </c>
      <c r="H39" s="6">
        <f t="shared" si="39"/>
        <v>1288.3333333333333</v>
      </c>
      <c r="I39" s="6">
        <f t="shared" si="39"/>
        <v>1288.3333333333333</v>
      </c>
      <c r="J39" s="6">
        <f t="shared" si="39"/>
        <v>1288.3333333333333</v>
      </c>
      <c r="R39" s="7" t="str">
        <f t="shared" si="36"/>
        <v>(+) Shared-Based Compesation</v>
      </c>
      <c r="S39" s="6">
        <v>983</v>
      </c>
      <c r="T39" s="6">
        <v>1014</v>
      </c>
    </row>
    <row r="40" spans="2:20" x14ac:dyDescent="0.2">
      <c r="B40" s="7" t="s">
        <v>81</v>
      </c>
      <c r="C40" s="6">
        <v>309</v>
      </c>
      <c r="D40" s="6">
        <v>316</v>
      </c>
      <c r="E40" s="6">
        <v>464</v>
      </c>
      <c r="F40" s="6">
        <f>F177</f>
        <v>363</v>
      </c>
      <c r="G40" s="6">
        <f t="shared" ref="G40:J40" si="40">G177</f>
        <v>363</v>
      </c>
      <c r="H40" s="6">
        <f t="shared" si="40"/>
        <v>363</v>
      </c>
      <c r="I40" s="6">
        <f t="shared" si="40"/>
        <v>363</v>
      </c>
      <c r="J40" s="6">
        <f t="shared" si="40"/>
        <v>363</v>
      </c>
      <c r="R40" s="7" t="str">
        <f t="shared" si="36"/>
        <v>(+) Non-cash Interest Expensed</v>
      </c>
      <c r="S40" s="6">
        <v>331</v>
      </c>
      <c r="T40" s="6">
        <v>359</v>
      </c>
    </row>
    <row r="41" spans="2:20" x14ac:dyDescent="0.2">
      <c r="B41" s="7" t="s">
        <v>82</v>
      </c>
      <c r="C41" s="6">
        <v>1177</v>
      </c>
      <c r="D41" s="6">
        <v>-768</v>
      </c>
      <c r="E41" s="6">
        <v>1088</v>
      </c>
      <c r="F41" s="6">
        <f>F179</f>
        <v>499</v>
      </c>
      <c r="G41" s="6">
        <f t="shared" ref="G41:J41" si="41">G179</f>
        <v>499</v>
      </c>
      <c r="H41" s="6">
        <f t="shared" si="41"/>
        <v>499</v>
      </c>
      <c r="I41" s="6">
        <f t="shared" si="41"/>
        <v>499</v>
      </c>
      <c r="J41" s="6">
        <f t="shared" si="41"/>
        <v>499</v>
      </c>
      <c r="R41" s="7" t="str">
        <f t="shared" si="36"/>
        <v>(+/-) Net Gain (loss) on investment activity</v>
      </c>
      <c r="S41" s="6">
        <v>620</v>
      </c>
      <c r="T41" s="6">
        <v>-9282</v>
      </c>
    </row>
    <row r="42" spans="2:20" x14ac:dyDescent="0.2">
      <c r="B42" s="7" t="s">
        <v>83</v>
      </c>
      <c r="C42" s="6">
        <v>-834</v>
      </c>
      <c r="D42" s="6">
        <v>-2739</v>
      </c>
      <c r="E42" s="6">
        <v>-902</v>
      </c>
      <c r="F42" s="6">
        <f>F181</f>
        <v>-1266.787179785274</v>
      </c>
      <c r="G42" s="6">
        <f t="shared" ref="G42:J42" si="42">G181</f>
        <v>-1305.9829669492519</v>
      </c>
      <c r="H42" s="6">
        <f t="shared" si="42"/>
        <v>-1345.2925012267031</v>
      </c>
      <c r="I42" s="6">
        <f t="shared" si="42"/>
        <v>-1388.3850653695958</v>
      </c>
      <c r="J42" s="6">
        <f t="shared" si="42"/>
        <v>-1437.5537939869303</v>
      </c>
      <c r="R42" s="7" t="str">
        <f t="shared" si="36"/>
        <v>(+/-) Deferred Income Tax</v>
      </c>
      <c r="S42" s="6">
        <v>123</v>
      </c>
      <c r="T42" s="6">
        <v>3250</v>
      </c>
    </row>
    <row r="43" spans="2:20" x14ac:dyDescent="0.2">
      <c r="B43" s="11" t="s">
        <v>22</v>
      </c>
      <c r="F43" s="6"/>
      <c r="R43" t="s">
        <v>22</v>
      </c>
    </row>
    <row r="44" spans="2:20" x14ac:dyDescent="0.2">
      <c r="B44" s="7" t="s">
        <v>84</v>
      </c>
      <c r="C44" s="6">
        <v>-1327</v>
      </c>
      <c r="D44" s="6">
        <v>-996</v>
      </c>
      <c r="E44" s="6">
        <v>136</v>
      </c>
      <c r="F44" s="6">
        <f>E76-F76</f>
        <v>-86.07491643558933</v>
      </c>
      <c r="G44" s="6">
        <f t="shared" ref="G44:J44" si="43">F76-G76</f>
        <v>-206.20612374653138</v>
      </c>
      <c r="H44" s="6">
        <f t="shared" si="43"/>
        <v>-209.29921560273033</v>
      </c>
      <c r="I44" s="6">
        <f t="shared" si="43"/>
        <v>-212.43870383677131</v>
      </c>
      <c r="J44" s="6">
        <f t="shared" si="43"/>
        <v>-215.62528439432208</v>
      </c>
      <c r="R44" s="7" t="s">
        <v>118</v>
      </c>
      <c r="S44" s="6">
        <v>74</v>
      </c>
      <c r="T44" s="6">
        <v>716</v>
      </c>
    </row>
    <row r="45" spans="2:20" x14ac:dyDescent="0.2">
      <c r="B45" s="7" t="s">
        <v>85</v>
      </c>
      <c r="C45" s="6">
        <v>-451</v>
      </c>
      <c r="D45" s="6">
        <v>-260</v>
      </c>
      <c r="E45" s="6">
        <v>290</v>
      </c>
      <c r="F45" s="6">
        <f>E81-F81</f>
        <v>-254.3244126715872</v>
      </c>
      <c r="G45" s="6">
        <f t="shared" ref="G45:J45" si="44">F81-G81</f>
        <v>-191.92986619007024</v>
      </c>
      <c r="H45" s="6">
        <f t="shared" si="44"/>
        <v>-194.8088141829212</v>
      </c>
      <c r="I45" s="6">
        <f t="shared" si="44"/>
        <v>-197.73094639567353</v>
      </c>
      <c r="J45" s="6">
        <f t="shared" si="44"/>
        <v>-200.69691059159777</v>
      </c>
      <c r="R45" s="7" t="s">
        <v>85</v>
      </c>
      <c r="S45" s="6">
        <v>-287</v>
      </c>
      <c r="T45" s="6">
        <v>-168</v>
      </c>
    </row>
    <row r="46" spans="2:20" x14ac:dyDescent="0.2">
      <c r="B46" s="7" t="s">
        <v>86</v>
      </c>
      <c r="C46" s="6">
        <v>497</v>
      </c>
      <c r="D46" s="6">
        <v>-520</v>
      </c>
      <c r="E46" s="6">
        <v>-758</v>
      </c>
      <c r="F46" s="6">
        <f>F94-E94+F96-E96</f>
        <v>719.01271895978607</v>
      </c>
      <c r="G46" s="6">
        <f t="shared" ref="G46:J46" si="45">G94-F94+G96-F96</f>
        <v>61.400389892651219</v>
      </c>
      <c r="H46" s="6">
        <f t="shared" si="45"/>
        <v>56.836795417495523</v>
      </c>
      <c r="I46" s="6">
        <f t="shared" si="45"/>
        <v>52.103070595701865</v>
      </c>
      <c r="J46" s="6">
        <f t="shared" si="45"/>
        <v>47.194847214266701</v>
      </c>
      <c r="R46" s="7" t="s">
        <v>119</v>
      </c>
      <c r="S46" s="6">
        <v>-906</v>
      </c>
      <c r="T46" s="6">
        <v>-135</v>
      </c>
    </row>
    <row r="47" spans="2:20" x14ac:dyDescent="0.2">
      <c r="B47" s="7" t="s">
        <v>87</v>
      </c>
      <c r="C47" s="6">
        <v>-1623</v>
      </c>
      <c r="D47" s="6">
        <v>2784</v>
      </c>
      <c r="E47" s="6">
        <v>-4611</v>
      </c>
      <c r="F47" s="6">
        <f>E77-F77+E87-F87+F95-E95+F103-E103</f>
        <v>629.27457445862092</v>
      </c>
      <c r="G47" s="6">
        <f t="shared" ref="G47:J47" si="46">F77-G77+F87-G87+G95-F95+G103-F103</f>
        <v>857.9816534607744</v>
      </c>
      <c r="H47" s="6">
        <f t="shared" si="46"/>
        <v>884.78769790568549</v>
      </c>
      <c r="I47" s="6">
        <f t="shared" si="46"/>
        <v>912.24369266121721</v>
      </c>
      <c r="J47" s="6">
        <f t="shared" si="46"/>
        <v>940.36368709944145</v>
      </c>
      <c r="R47" s="7" t="s">
        <v>87</v>
      </c>
      <c r="S47" s="6">
        <v>-3505</v>
      </c>
      <c r="T47" s="6">
        <v>-566</v>
      </c>
    </row>
    <row r="48" spans="2:20" x14ac:dyDescent="0.2">
      <c r="B48" s="4" t="s">
        <v>88</v>
      </c>
      <c r="C48" s="5">
        <f>SUM(C44:C47)</f>
        <v>-2904</v>
      </c>
      <c r="D48" s="5">
        <f t="shared" ref="D48:F48" si="47">SUM(D44:D47)</f>
        <v>1008</v>
      </c>
      <c r="E48" s="5">
        <f t="shared" si="47"/>
        <v>-4943</v>
      </c>
      <c r="F48" s="5">
        <f t="shared" si="47"/>
        <v>1007.8879643112305</v>
      </c>
      <c r="G48" s="5">
        <f t="shared" ref="G48:J48" si="48">SUM(G44:G47)</f>
        <v>521.246053416824</v>
      </c>
      <c r="H48" s="5">
        <f t="shared" si="48"/>
        <v>537.51646353752949</v>
      </c>
      <c r="I48" s="5">
        <f t="shared" si="48"/>
        <v>554.17711302447424</v>
      </c>
      <c r="J48" s="5">
        <f t="shared" si="48"/>
        <v>571.2363393277883</v>
      </c>
      <c r="R48" s="4" t="s">
        <v>88</v>
      </c>
      <c r="S48" s="5">
        <f>SUM(S44:S47)</f>
        <v>-4624</v>
      </c>
      <c r="T48" s="5">
        <f>SUM(T44:T47)</f>
        <v>-153</v>
      </c>
    </row>
    <row r="49" spans="2:20" x14ac:dyDescent="0.2">
      <c r="B49" s="16" t="s">
        <v>28</v>
      </c>
      <c r="C49" s="17">
        <f>C48+SUM(C34:C42)</f>
        <v>26413</v>
      </c>
      <c r="D49" s="17">
        <f t="shared" ref="D49:F49" si="49">D48+SUM(D34:D42)</f>
        <v>28501</v>
      </c>
      <c r="E49" s="17">
        <f t="shared" si="49"/>
        <v>27674</v>
      </c>
      <c r="F49" s="17">
        <f t="shared" si="49"/>
        <v>31152.822124954564</v>
      </c>
      <c r="G49" s="17">
        <f t="shared" ref="G49" si="50">G48+SUM(G34:G42)</f>
        <v>31415.961289792354</v>
      </c>
      <c r="H49" s="17">
        <f t="shared" ref="H49" si="51">H48+SUM(H34:H42)</f>
        <v>32190.419054399063</v>
      </c>
      <c r="I49" s="17">
        <f t="shared" ref="I49" si="52">I48+SUM(I34:I42)</f>
        <v>33010.585877755744</v>
      </c>
      <c r="J49" s="17">
        <f t="shared" ref="J49" si="53">J48+SUM(J34:J42)</f>
        <v>33899.592883781006</v>
      </c>
      <c r="R49" s="16" t="s">
        <v>28</v>
      </c>
      <c r="S49" s="17">
        <f>S48+SUM(S36:S42)</f>
        <v>8402</v>
      </c>
      <c r="T49" s="17">
        <f>T48+SUM(T36:T42)</f>
        <v>7211</v>
      </c>
    </row>
    <row r="51" spans="2:20" x14ac:dyDescent="0.2">
      <c r="B51" s="7" t="s">
        <v>29</v>
      </c>
      <c r="C51" s="6">
        <f>-10626-330</f>
        <v>-10956</v>
      </c>
      <c r="D51" s="6">
        <f>-12242-137</f>
        <v>-12379</v>
      </c>
      <c r="E51" s="6">
        <f>-12181-116</f>
        <v>-12297</v>
      </c>
      <c r="F51" s="6">
        <f>-F184</f>
        <v>-12200.205968571861</v>
      </c>
      <c r="G51" s="6">
        <f t="shared" ref="G51:J51" si="54">-G184</f>
        <v>-12383.209058100438</v>
      </c>
      <c r="H51" s="6">
        <f t="shared" si="54"/>
        <v>-12568.957193971943</v>
      </c>
      <c r="I51" s="6">
        <f t="shared" si="54"/>
        <v>-12757.491551881523</v>
      </c>
      <c r="J51" s="6">
        <f t="shared" si="54"/>
        <v>-12948.853925159743</v>
      </c>
      <c r="R51" s="7" t="str">
        <f>B51</f>
        <v>(-) CAPEX</v>
      </c>
      <c r="S51" s="6">
        <v>-8267</v>
      </c>
      <c r="T51" s="6">
        <f>-8001</f>
        <v>-8001</v>
      </c>
    </row>
    <row r="52" spans="2:20" x14ac:dyDescent="0.2">
      <c r="B52" s="7" t="s">
        <v>89</v>
      </c>
      <c r="C52" s="6">
        <v>-3141</v>
      </c>
      <c r="D52" s="6">
        <v>-3298</v>
      </c>
      <c r="E52" s="6">
        <v>-2949</v>
      </c>
      <c r="F52" s="6">
        <f>-F187</f>
        <v>-3216.2534167284384</v>
      </c>
      <c r="G52" s="6">
        <f>-G187</f>
        <v>-3264.4972179793645</v>
      </c>
      <c r="H52" s="6">
        <f>-H187</f>
        <v>-3313.4646762490543</v>
      </c>
      <c r="I52" s="6">
        <f>-I187</f>
        <v>-3363.16664639279</v>
      </c>
      <c r="J52" s="6">
        <f>-J187</f>
        <v>-3413.6141460886815</v>
      </c>
      <c r="R52" s="7" t="str">
        <f t="shared" ref="R52:R56" si="55">B52</f>
        <v>(-) Intangible Assets</v>
      </c>
      <c r="S52" s="6">
        <v>-2043</v>
      </c>
      <c r="T52" s="6">
        <v>-1934</v>
      </c>
    </row>
    <row r="53" spans="2:20" x14ac:dyDescent="0.2">
      <c r="B53" s="7" t="s">
        <v>204</v>
      </c>
      <c r="C53" s="6">
        <v>1985</v>
      </c>
      <c r="D53" s="6">
        <v>661</v>
      </c>
      <c r="E53" s="6">
        <v>771</v>
      </c>
      <c r="F53" s="6">
        <f>F190</f>
        <v>1139</v>
      </c>
      <c r="G53" s="6">
        <f t="shared" ref="G53:J53" si="56">G190</f>
        <v>1139</v>
      </c>
      <c r="H53" s="6">
        <f t="shared" si="56"/>
        <v>1139</v>
      </c>
      <c r="I53" s="6">
        <f t="shared" si="56"/>
        <v>1139</v>
      </c>
      <c r="J53" s="6">
        <f t="shared" si="56"/>
        <v>1139</v>
      </c>
      <c r="R53" s="7" t="str">
        <f t="shared" si="55"/>
        <v>(+) Proceeds from Sale of Business</v>
      </c>
      <c r="S53" s="6">
        <v>689</v>
      </c>
      <c r="T53" s="6">
        <v>644</v>
      </c>
    </row>
    <row r="54" spans="2:20" x14ac:dyDescent="0.2">
      <c r="B54" s="7" t="s">
        <v>91</v>
      </c>
      <c r="C54" s="6">
        <v>0</v>
      </c>
      <c r="D54" s="6">
        <v>8610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R54" s="7" t="str">
        <f t="shared" si="55"/>
        <v>(+) Advanced of Sale of Investments</v>
      </c>
      <c r="S54" s="6">
        <v>0</v>
      </c>
      <c r="T54" s="6">
        <v>0</v>
      </c>
    </row>
    <row r="55" spans="2:20" x14ac:dyDescent="0.2">
      <c r="B55" s="7" t="s">
        <v>90</v>
      </c>
      <c r="C55" s="6">
        <v>-2274</v>
      </c>
      <c r="D55" s="6">
        <v>-1313</v>
      </c>
      <c r="E55" s="6">
        <v>-1082</v>
      </c>
      <c r="F55" s="6">
        <f>-F192</f>
        <v>-1556.3333333333333</v>
      </c>
      <c r="G55" s="6">
        <f t="shared" ref="G55:J55" si="57">-G192</f>
        <v>-1556.3333333333333</v>
      </c>
      <c r="H55" s="6">
        <f t="shared" si="57"/>
        <v>-1556.3333333333333</v>
      </c>
      <c r="I55" s="6">
        <f t="shared" si="57"/>
        <v>-1556.3333333333333</v>
      </c>
      <c r="J55" s="6">
        <f t="shared" si="57"/>
        <v>-1556.3333333333333</v>
      </c>
      <c r="R55" s="7" t="str">
        <f t="shared" si="55"/>
        <v>(-) Purchase of Investments</v>
      </c>
      <c r="S55" s="6">
        <v>-934</v>
      </c>
      <c r="T55" s="6">
        <v>-1226</v>
      </c>
    </row>
    <row r="56" spans="2:20" x14ac:dyDescent="0.2">
      <c r="B56" s="7" t="s">
        <v>32</v>
      </c>
      <c r="C56" s="6">
        <v>246</v>
      </c>
      <c r="D56" s="6">
        <v>558</v>
      </c>
      <c r="E56" s="6">
        <v>-113</v>
      </c>
      <c r="F56" s="6">
        <f>F194</f>
        <v>230.33333333333334</v>
      </c>
      <c r="G56" s="6">
        <f t="shared" ref="G56:J56" si="58">G194</f>
        <v>230.33333333333334</v>
      </c>
      <c r="H56" s="6">
        <f t="shared" si="58"/>
        <v>230.33333333333334</v>
      </c>
      <c r="I56" s="6">
        <f t="shared" si="58"/>
        <v>230.33333333333334</v>
      </c>
      <c r="J56" s="6">
        <f t="shared" si="58"/>
        <v>230.33333333333334</v>
      </c>
      <c r="R56" s="7" t="str">
        <f t="shared" si="55"/>
        <v>(+/-) Other</v>
      </c>
      <c r="S56" s="6">
        <v>108</v>
      </c>
      <c r="T56" s="6">
        <v>80</v>
      </c>
    </row>
    <row r="57" spans="2:20" x14ac:dyDescent="0.2">
      <c r="B57" s="16" t="s">
        <v>30</v>
      </c>
      <c r="C57" s="17">
        <f t="shared" ref="C57:J57" si="59">SUM(C51:C56)</f>
        <v>-14140</v>
      </c>
      <c r="D57" s="17">
        <f t="shared" si="59"/>
        <v>-7161</v>
      </c>
      <c r="E57" s="17">
        <f t="shared" si="59"/>
        <v>-15670</v>
      </c>
      <c r="F57" s="17">
        <f t="shared" si="59"/>
        <v>-15603.459385300299</v>
      </c>
      <c r="G57" s="17">
        <f t="shared" si="59"/>
        <v>-15834.706276079802</v>
      </c>
      <c r="H57" s="17">
        <f t="shared" si="59"/>
        <v>-16069.421870220996</v>
      </c>
      <c r="I57" s="17">
        <f t="shared" si="59"/>
        <v>-16307.658198274314</v>
      </c>
      <c r="J57" s="17">
        <f t="shared" si="59"/>
        <v>-16549.468071248426</v>
      </c>
      <c r="R57" s="16" t="s">
        <v>30</v>
      </c>
      <c r="S57" s="17">
        <f>SUM(S51:S56)</f>
        <v>-10447</v>
      </c>
      <c r="T57" s="17">
        <f>SUM(T51:T56)</f>
        <v>-10437</v>
      </c>
    </row>
    <row r="59" spans="2:20" x14ac:dyDescent="0.2">
      <c r="B59" s="7" t="s">
        <v>92</v>
      </c>
      <c r="C59" s="6">
        <f>660+2745-2307</f>
        <v>1098</v>
      </c>
      <c r="D59" s="6">
        <f>-660+6052-4015-5175</f>
        <v>-3798</v>
      </c>
      <c r="E59" s="6">
        <f>6268-3573</f>
        <v>2695</v>
      </c>
      <c r="F59" s="6">
        <f>-F239</f>
        <v>-4900</v>
      </c>
      <c r="G59" s="6">
        <f t="shared" ref="G59:J59" si="60">-G239</f>
        <v>-4900</v>
      </c>
      <c r="H59" s="6">
        <f t="shared" si="60"/>
        <v>-5700</v>
      </c>
      <c r="I59" s="6">
        <f t="shared" si="60"/>
        <v>-7000</v>
      </c>
      <c r="J59" s="6">
        <f t="shared" si="60"/>
        <v>-4800</v>
      </c>
      <c r="R59" s="7" t="str">
        <f>B59</f>
        <v>(+/-) Debt</v>
      </c>
      <c r="S59" s="6">
        <f>6268-2433</f>
        <v>3835</v>
      </c>
      <c r="T59" s="6">
        <f>2494-4366</f>
        <v>-1872</v>
      </c>
    </row>
    <row r="60" spans="2:20" x14ac:dyDescent="0.2">
      <c r="B60" s="7" t="s">
        <v>93</v>
      </c>
      <c r="C60" s="6">
        <v>-13328</v>
      </c>
      <c r="D60" s="6">
        <v>-11921</v>
      </c>
      <c r="E60" s="6">
        <v>-9103</v>
      </c>
      <c r="F60" s="6">
        <f>-F196</f>
        <v>-6279.3482499999991</v>
      </c>
      <c r="G60" s="6">
        <f t="shared" ref="G60:J60" si="61">-G196</f>
        <v>-6373.538473749999</v>
      </c>
      <c r="H60" s="6">
        <f t="shared" si="61"/>
        <v>-6469.1415508562477</v>
      </c>
      <c r="I60" s="6">
        <f t="shared" si="61"/>
        <v>-6566.1786741190917</v>
      </c>
      <c r="J60" s="6">
        <f t="shared" si="61"/>
        <v>-6664.6713542308762</v>
      </c>
      <c r="R60" s="7" t="str">
        <f t="shared" ref="R60:R62" si="62">B60</f>
        <v>(-) Repurchase of Common Stock</v>
      </c>
      <c r="S60" s="6">
        <v>-6920</v>
      </c>
      <c r="T60" s="6">
        <v>-5618</v>
      </c>
    </row>
    <row r="61" spans="2:20" x14ac:dyDescent="0.2">
      <c r="B61" s="7" t="s">
        <v>94</v>
      </c>
      <c r="C61" s="6">
        <v>-4741</v>
      </c>
      <c r="D61" s="6">
        <v>-4766</v>
      </c>
      <c r="E61" s="6">
        <v>-4814</v>
      </c>
      <c r="F61" s="6">
        <f>-F199</f>
        <v>-4084.6945826966839</v>
      </c>
      <c r="G61" s="6">
        <f t="shared" ref="G61:J61" si="63">-G199</f>
        <v>-4214.3035834315588</v>
      </c>
      <c r="H61" s="6">
        <f t="shared" si="63"/>
        <v>-4344.2887125919724</v>
      </c>
      <c r="I61" s="6">
        <f t="shared" si="63"/>
        <v>-4486.7832147255276</v>
      </c>
      <c r="J61" s="6">
        <f t="shared" si="63"/>
        <v>-4649.3698150873552</v>
      </c>
      <c r="R61" s="7" t="str">
        <f t="shared" si="62"/>
        <v>(-) Dividend</v>
      </c>
      <c r="S61" s="6">
        <v>-3624</v>
      </c>
      <c r="T61" s="6">
        <v>-3685</v>
      </c>
    </row>
    <row r="62" spans="2:20" x14ac:dyDescent="0.2">
      <c r="B62" s="7" t="s">
        <v>32</v>
      </c>
      <c r="C62" s="6">
        <v>896</v>
      </c>
      <c r="D62" s="6">
        <v>5</v>
      </c>
      <c r="E62" s="6">
        <v>339</v>
      </c>
      <c r="F62" s="6">
        <f>F202</f>
        <v>413.33333333333331</v>
      </c>
      <c r="G62" s="6">
        <f t="shared" ref="G62:J62" si="64">G202</f>
        <v>413.33333333333331</v>
      </c>
      <c r="H62" s="6">
        <f t="shared" si="64"/>
        <v>413.33333333333331</v>
      </c>
      <c r="I62" s="6">
        <f t="shared" si="64"/>
        <v>413.33333333333331</v>
      </c>
      <c r="J62" s="6">
        <f t="shared" si="64"/>
        <v>413.33333333333331</v>
      </c>
      <c r="R62" s="7" t="str">
        <f t="shared" si="62"/>
        <v>(+/-) Other</v>
      </c>
      <c r="S62" s="6">
        <v>250</v>
      </c>
      <c r="T62" s="6">
        <v>51</v>
      </c>
    </row>
    <row r="63" spans="2:20" x14ac:dyDescent="0.2">
      <c r="B63" s="16" t="s">
        <v>33</v>
      </c>
      <c r="C63" s="17">
        <f>SUM(C59:C62)</f>
        <v>-16075</v>
      </c>
      <c r="D63" s="17">
        <f t="shared" ref="D63:F63" si="65">SUM(D59:D62)</f>
        <v>-20480</v>
      </c>
      <c r="E63" s="17">
        <f t="shared" si="65"/>
        <v>-10883</v>
      </c>
      <c r="F63" s="17">
        <f t="shared" si="65"/>
        <v>-14850.709499363349</v>
      </c>
      <c r="G63" s="17">
        <f t="shared" ref="G63" si="66">SUM(G59:G62)</f>
        <v>-15074.508723848225</v>
      </c>
      <c r="H63" s="17">
        <f t="shared" ref="H63" si="67">SUM(H59:H62)</f>
        <v>-16100.096930114885</v>
      </c>
      <c r="I63" s="17">
        <f t="shared" ref="I63" si="68">SUM(I59:I62)</f>
        <v>-17639.628555511288</v>
      </c>
      <c r="J63" s="17">
        <f t="shared" ref="J63" si="69">SUM(J59:J62)</f>
        <v>-15700.707835984897</v>
      </c>
      <c r="R63" s="16" t="s">
        <v>33</v>
      </c>
      <c r="S63" s="17">
        <f>SUM(S59:S62)</f>
        <v>-6459</v>
      </c>
      <c r="T63" s="17">
        <f>SUM(T59:T62)</f>
        <v>-11124</v>
      </c>
    </row>
    <row r="65" spans="2:20" x14ac:dyDescent="0.2">
      <c r="B65" s="11" t="s">
        <v>95</v>
      </c>
      <c r="C65" s="6">
        <v>-86</v>
      </c>
      <c r="D65" s="6">
        <v>9</v>
      </c>
      <c r="E65" s="6">
        <v>-26</v>
      </c>
      <c r="F65" s="6">
        <f>F204</f>
        <v>-34.333333333333336</v>
      </c>
      <c r="G65" s="6">
        <f t="shared" ref="G65:J65" si="70">G204</f>
        <v>-34.333333333333336</v>
      </c>
      <c r="H65" s="6">
        <f t="shared" si="70"/>
        <v>-34.333333333333336</v>
      </c>
      <c r="I65" s="6">
        <f t="shared" si="70"/>
        <v>-34.333333333333336</v>
      </c>
      <c r="J65" s="6">
        <f t="shared" si="70"/>
        <v>-34.333333333333336</v>
      </c>
      <c r="R65" t="s">
        <v>95</v>
      </c>
      <c r="S65" s="6">
        <v>21</v>
      </c>
      <c r="T65" s="6">
        <v>35</v>
      </c>
    </row>
    <row r="66" spans="2:20" x14ac:dyDescent="0.2">
      <c r="B66" s="11"/>
      <c r="C66" s="6"/>
      <c r="D66" s="6"/>
      <c r="E66" s="6"/>
      <c r="F66" s="6"/>
      <c r="G66" s="6"/>
      <c r="H66" s="6"/>
      <c r="I66" s="6"/>
      <c r="J66" s="6"/>
      <c r="S66" s="6"/>
      <c r="T66" s="6"/>
    </row>
    <row r="67" spans="2:20" x14ac:dyDescent="0.2">
      <c r="B67" s="11" t="s">
        <v>182</v>
      </c>
      <c r="C67" s="6"/>
      <c r="D67" s="6"/>
      <c r="E67" s="6"/>
      <c r="F67" s="6">
        <f>F49+F57+F63+F65</f>
        <v>664.3199069575827</v>
      </c>
      <c r="G67" s="6">
        <f>G49+G57+G63+G65</f>
        <v>472.41295653099468</v>
      </c>
      <c r="H67" s="6">
        <f t="shared" ref="H67:J67" si="71">H49+H57+H63+H65</f>
        <v>-13.433079270152426</v>
      </c>
      <c r="I67" s="6">
        <f t="shared" si="71"/>
        <v>-971.03420936319287</v>
      </c>
      <c r="J67" s="6">
        <f t="shared" si="71"/>
        <v>1615.0836432143503</v>
      </c>
      <c r="S67" s="6"/>
      <c r="T67" s="6"/>
    </row>
    <row r="68" spans="2:20" x14ac:dyDescent="0.2">
      <c r="B68" s="11" t="s">
        <v>150</v>
      </c>
      <c r="C68" s="6"/>
      <c r="D68" s="6"/>
      <c r="E68" s="6"/>
      <c r="F68" s="6">
        <f>E75</f>
        <v>7322</v>
      </c>
      <c r="G68" s="6">
        <f>F69</f>
        <v>7986.319906957583</v>
      </c>
      <c r="H68" s="6">
        <f t="shared" ref="H68:J68" si="72">G69</f>
        <v>8458.732863488578</v>
      </c>
      <c r="I68" s="6">
        <f t="shared" si="72"/>
        <v>8445.299784218425</v>
      </c>
      <c r="J68" s="6">
        <f t="shared" si="72"/>
        <v>7474.2655748552324</v>
      </c>
      <c r="S68" s="6"/>
      <c r="T68" s="6"/>
    </row>
    <row r="69" spans="2:20" x14ac:dyDescent="0.2">
      <c r="B69" s="12" t="s">
        <v>151</v>
      </c>
      <c r="C69" s="6"/>
      <c r="D69" s="6"/>
      <c r="E69" s="6"/>
      <c r="F69" s="5">
        <f>SUM(F67:F68)</f>
        <v>7986.319906957583</v>
      </c>
      <c r="G69" s="5">
        <f>SUM(G67:G68)</f>
        <v>8458.732863488578</v>
      </c>
      <c r="H69" s="5">
        <f t="shared" ref="H69:J69" si="73">SUM(H67:H68)</f>
        <v>8445.299784218425</v>
      </c>
      <c r="I69" s="5">
        <f t="shared" si="73"/>
        <v>7474.2655748552324</v>
      </c>
      <c r="J69" s="5">
        <f t="shared" si="73"/>
        <v>9089.349218069583</v>
      </c>
      <c r="S69" s="6"/>
      <c r="T69" s="6"/>
    </row>
    <row r="71" spans="2:20" x14ac:dyDescent="0.2">
      <c r="B71" s="2"/>
      <c r="C71" s="129" t="s">
        <v>15</v>
      </c>
      <c r="D71" s="129"/>
      <c r="E71" s="130"/>
      <c r="F71" s="131" t="s">
        <v>125</v>
      </c>
      <c r="G71" s="129"/>
      <c r="H71" s="129"/>
      <c r="I71" s="129"/>
      <c r="J71" s="129"/>
      <c r="R71" s="2"/>
      <c r="S71" s="126" t="s">
        <v>108</v>
      </c>
      <c r="T71" s="126"/>
    </row>
    <row r="72" spans="2:20" x14ac:dyDescent="0.2">
      <c r="B72" s="10" t="s">
        <v>120</v>
      </c>
      <c r="C72" s="23">
        <v>2022</v>
      </c>
      <c r="D72" s="23">
        <v>2023</v>
      </c>
      <c r="E72" s="23">
        <v>2024</v>
      </c>
      <c r="F72" s="24">
        <v>2025</v>
      </c>
      <c r="G72" s="23">
        <v>2026</v>
      </c>
      <c r="H72" s="23">
        <v>2027</v>
      </c>
      <c r="I72" s="23">
        <v>2028</v>
      </c>
      <c r="J72" s="23">
        <v>2029</v>
      </c>
      <c r="R72" s="10" t="s">
        <v>120</v>
      </c>
      <c r="S72" s="10"/>
      <c r="T72" s="10" t="str">
        <f>T33</f>
        <v>2025 9M</v>
      </c>
    </row>
    <row r="73" spans="2:20" x14ac:dyDescent="0.2">
      <c r="B73" s="14" t="s">
        <v>35</v>
      </c>
      <c r="C73" s="13"/>
      <c r="D73" s="13"/>
      <c r="E73" s="13"/>
      <c r="F73" s="13"/>
      <c r="G73" s="13"/>
      <c r="H73" s="13"/>
      <c r="I73" s="13"/>
      <c r="J73" s="18"/>
      <c r="R73" s="14" t="s">
        <v>35</v>
      </c>
      <c r="S73" s="13"/>
      <c r="T73" s="18"/>
    </row>
    <row r="74" spans="2:20" x14ac:dyDescent="0.2">
      <c r="B74" s="4" t="s">
        <v>36</v>
      </c>
      <c r="R74" s="4" t="str">
        <f>B74</f>
        <v>Current Assets</v>
      </c>
    </row>
    <row r="75" spans="2:20" x14ac:dyDescent="0.2">
      <c r="B75" s="7" t="s">
        <v>37</v>
      </c>
      <c r="C75" s="6">
        <v>4749</v>
      </c>
      <c r="D75" s="6">
        <v>6215</v>
      </c>
      <c r="E75" s="6">
        <v>7322</v>
      </c>
      <c r="F75" s="6">
        <f>F69</f>
        <v>7986.319906957583</v>
      </c>
      <c r="G75" s="6">
        <f>G69</f>
        <v>8458.732863488578</v>
      </c>
      <c r="H75" s="6">
        <f t="shared" ref="H75:J75" si="74">H69</f>
        <v>8445.299784218425</v>
      </c>
      <c r="I75" s="6">
        <f t="shared" si="74"/>
        <v>7474.2655748552324</v>
      </c>
      <c r="J75" s="6">
        <f t="shared" si="74"/>
        <v>9089.349218069583</v>
      </c>
      <c r="R75" s="7" t="str">
        <f t="shared" ref="R75:R90" si="75">B75</f>
        <v>Cash and Cash Equivalents</v>
      </c>
      <c r="T75" s="6">
        <v>9325</v>
      </c>
    </row>
    <row r="76" spans="2:20" x14ac:dyDescent="0.2">
      <c r="B76" s="7" t="s">
        <v>38</v>
      </c>
      <c r="C76" s="6">
        <v>12672</v>
      </c>
      <c r="D76" s="6">
        <v>13813</v>
      </c>
      <c r="E76" s="6">
        <v>13661</v>
      </c>
      <c r="F76" s="6">
        <f>F209</f>
        <v>13747.074916435589</v>
      </c>
      <c r="G76" s="6">
        <f t="shared" ref="G76:J76" si="76">G209</f>
        <v>13953.281040182121</v>
      </c>
      <c r="H76" s="6">
        <f t="shared" si="76"/>
        <v>14162.580255784851</v>
      </c>
      <c r="I76" s="6">
        <f t="shared" si="76"/>
        <v>14375.018959621622</v>
      </c>
      <c r="J76" s="6">
        <f t="shared" si="76"/>
        <v>14590.644244015944</v>
      </c>
      <c r="R76" s="7" t="str">
        <f t="shared" si="75"/>
        <v>Trade Receivable</v>
      </c>
      <c r="T76" s="6">
        <v>13214</v>
      </c>
    </row>
    <row r="77" spans="2:20" x14ac:dyDescent="0.2">
      <c r="B77" s="7" t="s">
        <v>39</v>
      </c>
      <c r="C77" s="6">
        <v>4406</v>
      </c>
      <c r="D77" s="6">
        <v>3959</v>
      </c>
      <c r="E77" s="6">
        <v>5817</v>
      </c>
      <c r="F77" s="6">
        <f>F212</f>
        <v>6155.4289299999991</v>
      </c>
      <c r="G77" s="6">
        <f t="shared" ref="G77:J77" si="77">G212</f>
        <v>6502.7019028999985</v>
      </c>
      <c r="H77" s="6">
        <f t="shared" si="77"/>
        <v>6859.0080934777479</v>
      </c>
      <c r="I77" s="6">
        <f t="shared" si="77"/>
        <v>7224.540361844678</v>
      </c>
      <c r="J77" s="6">
        <f t="shared" si="77"/>
        <v>7599.4953214415818</v>
      </c>
      <c r="R77" s="7" t="str">
        <f t="shared" si="75"/>
        <v>Other Current Assets</v>
      </c>
      <c r="T77" s="6">
        <v>6319</v>
      </c>
    </row>
    <row r="78" spans="2:20" x14ac:dyDescent="0.2">
      <c r="B78" s="4" t="s">
        <v>40</v>
      </c>
      <c r="C78" s="5">
        <f>SUM(C75:C77)</f>
        <v>21827</v>
      </c>
      <c r="D78" s="5">
        <f>SUM(D75:D77)</f>
        <v>23987</v>
      </c>
      <c r="E78" s="5">
        <f>SUM(E75:E77)</f>
        <v>26800</v>
      </c>
      <c r="F78" s="5">
        <f>SUM(F75:F77)</f>
        <v>27888.823753393172</v>
      </c>
      <c r="G78" s="5">
        <f t="shared" ref="G78:J78" si="78">SUM(G75:G77)</f>
        <v>28914.715806570697</v>
      </c>
      <c r="H78" s="5">
        <f t="shared" si="78"/>
        <v>29466.888133481025</v>
      </c>
      <c r="I78" s="5">
        <f t="shared" si="78"/>
        <v>29073.82489632153</v>
      </c>
      <c r="J78" s="5">
        <f t="shared" si="78"/>
        <v>31279.488783527107</v>
      </c>
      <c r="R78" s="4" t="str">
        <f t="shared" si="75"/>
        <v>Total Current Assets</v>
      </c>
      <c r="T78" s="5">
        <f>SUM(T75:T77)</f>
        <v>28858</v>
      </c>
    </row>
    <row r="80" spans="2:20" x14ac:dyDescent="0.2">
      <c r="B80" s="4" t="s">
        <v>41</v>
      </c>
      <c r="R80" s="4" t="str">
        <f t="shared" si="75"/>
        <v>Non-Current Assets</v>
      </c>
    </row>
    <row r="81" spans="2:20" x14ac:dyDescent="0.2">
      <c r="B81" s="7" t="s">
        <v>96</v>
      </c>
      <c r="C81" s="6">
        <v>12560</v>
      </c>
      <c r="D81" s="6">
        <v>12920</v>
      </c>
      <c r="E81" s="6">
        <v>12541</v>
      </c>
      <c r="F81" s="6">
        <f>F215</f>
        <v>12795.324412671587</v>
      </c>
      <c r="G81" s="6">
        <f t="shared" ref="G81:J81" si="79">G215</f>
        <v>12987.254278861657</v>
      </c>
      <c r="H81" s="6">
        <f t="shared" si="79"/>
        <v>13182.063093044579</v>
      </c>
      <c r="I81" s="6">
        <f t="shared" si="79"/>
        <v>13379.794039440252</v>
      </c>
      <c r="J81" s="6">
        <f t="shared" si="79"/>
        <v>13580.49095003185</v>
      </c>
      <c r="R81" s="7" t="str">
        <f t="shared" si="75"/>
        <v>Film and TV Cost</v>
      </c>
      <c r="T81" s="6">
        <v>12957</v>
      </c>
    </row>
    <row r="82" spans="2:20" x14ac:dyDescent="0.2">
      <c r="B82" s="7" t="s">
        <v>97</v>
      </c>
      <c r="C82" s="6">
        <f>7250+490</f>
        <v>7740</v>
      </c>
      <c r="D82" s="6">
        <v>9385</v>
      </c>
      <c r="E82" s="6">
        <v>8647</v>
      </c>
      <c r="F82" s="6">
        <f>E82-F55</f>
        <v>10203.333333333334</v>
      </c>
      <c r="G82" s="6">
        <f t="shared" ref="G82:J82" si="80">F82-G55</f>
        <v>11759.666666666668</v>
      </c>
      <c r="H82" s="6">
        <f t="shared" si="80"/>
        <v>13316.000000000002</v>
      </c>
      <c r="I82" s="6">
        <f t="shared" si="80"/>
        <v>14872.333333333336</v>
      </c>
      <c r="J82" s="6">
        <f t="shared" si="80"/>
        <v>16428.666666666668</v>
      </c>
      <c r="R82" s="7" t="str">
        <f t="shared" si="75"/>
        <v>Investments</v>
      </c>
      <c r="T82" s="6">
        <v>8324</v>
      </c>
    </row>
    <row r="83" spans="2:20" x14ac:dyDescent="0.2">
      <c r="B83" s="7" t="s">
        <v>44</v>
      </c>
      <c r="C83" s="6">
        <v>55485</v>
      </c>
      <c r="D83" s="6">
        <v>59686</v>
      </c>
      <c r="E83" s="6">
        <v>62548</v>
      </c>
      <c r="F83" s="6">
        <f>E83-F51-F36</f>
        <v>65738.46686879886</v>
      </c>
      <c r="G83" s="6">
        <f t="shared" ref="G83:J83" si="81">F83-G51-G36</f>
        <v>68976.790740629716</v>
      </c>
      <c r="H83" s="6">
        <f t="shared" si="81"/>
        <v>72263.68947053804</v>
      </c>
      <c r="I83" s="6">
        <f t="shared" si="81"/>
        <v>75599.891681394976</v>
      </c>
      <c r="J83" s="6">
        <f t="shared" si="81"/>
        <v>78986.136925414772</v>
      </c>
      <c r="R83" s="7" t="str">
        <f t="shared" si="75"/>
        <v>PP&amp;E</v>
      </c>
      <c r="T83" s="6">
        <v>64773</v>
      </c>
    </row>
    <row r="84" spans="2:20" x14ac:dyDescent="0.2">
      <c r="B84" s="7" t="s">
        <v>45</v>
      </c>
      <c r="C84" s="6">
        <v>58494</v>
      </c>
      <c r="D84" s="6">
        <v>59268</v>
      </c>
      <c r="E84" s="6">
        <v>58209</v>
      </c>
      <c r="F84" s="6">
        <f>E84-F53</f>
        <v>57070</v>
      </c>
      <c r="G84" s="6">
        <f t="shared" ref="G84:J84" si="82">F84-G53</f>
        <v>55931</v>
      </c>
      <c r="H84" s="6">
        <f t="shared" si="82"/>
        <v>54792</v>
      </c>
      <c r="I84" s="6">
        <f t="shared" si="82"/>
        <v>53653</v>
      </c>
      <c r="J84" s="6">
        <f t="shared" si="82"/>
        <v>52514</v>
      </c>
      <c r="R84" s="7" t="str">
        <f t="shared" si="75"/>
        <v>Goodwill</v>
      </c>
      <c r="T84" s="6">
        <v>61406</v>
      </c>
    </row>
    <row r="85" spans="2:20" x14ac:dyDescent="0.2">
      <c r="B85" s="7" t="s">
        <v>98</v>
      </c>
      <c r="C85" s="6">
        <v>59365</v>
      </c>
      <c r="D85" s="6">
        <v>59365</v>
      </c>
      <c r="E85" s="6">
        <v>59365</v>
      </c>
      <c r="F85" s="6">
        <f>E85</f>
        <v>59365</v>
      </c>
      <c r="G85" s="6">
        <f t="shared" ref="G85:J85" si="83">F85</f>
        <v>59365</v>
      </c>
      <c r="H85" s="6">
        <f t="shared" si="83"/>
        <v>59365</v>
      </c>
      <c r="I85" s="6">
        <f t="shared" si="83"/>
        <v>59365</v>
      </c>
      <c r="J85" s="6">
        <f t="shared" si="83"/>
        <v>59365</v>
      </c>
      <c r="R85" s="7" t="str">
        <f t="shared" si="75"/>
        <v>Franchise Rights</v>
      </c>
      <c r="T85" s="6">
        <v>59365</v>
      </c>
    </row>
    <row r="86" spans="2:20" x14ac:dyDescent="0.2">
      <c r="B86" s="7" t="s">
        <v>99</v>
      </c>
      <c r="C86" s="6">
        <v>29308</v>
      </c>
      <c r="D86" s="6">
        <v>27867</v>
      </c>
      <c r="E86" s="6">
        <v>25599</v>
      </c>
      <c r="F86" s="6">
        <f>E86-F52-F37</f>
        <v>22526.586451728439</v>
      </c>
      <c r="G86" s="6">
        <f t="shared" ref="G86:J86" si="84">F86-G52-G37</f>
        <v>19280.615930757805</v>
      </c>
      <c r="H86" s="6">
        <f t="shared" si="84"/>
        <v>15856.573020955489</v>
      </c>
      <c r="I86" s="6">
        <f t="shared" si="84"/>
        <v>12249.845894023754</v>
      </c>
      <c r="J86" s="6">
        <f t="shared" si="84"/>
        <v>8455.7244331034271</v>
      </c>
      <c r="R86" s="7" t="str">
        <f t="shared" si="75"/>
        <v>Other Intangible</v>
      </c>
      <c r="T86" s="6">
        <v>23379</v>
      </c>
    </row>
    <row r="87" spans="2:20" x14ac:dyDescent="0.2">
      <c r="B87" s="7" t="s">
        <v>46</v>
      </c>
      <c r="C87" s="6">
        <v>12497</v>
      </c>
      <c r="D87" s="6">
        <v>12333</v>
      </c>
      <c r="E87" s="6">
        <v>12501</v>
      </c>
      <c r="F87" s="6">
        <f>F218</f>
        <v>12625.721517499998</v>
      </c>
      <c r="G87" s="6">
        <f t="shared" ref="G87:J87" si="85">G218</f>
        <v>12751.371955524995</v>
      </c>
      <c r="H87" s="6">
        <f t="shared" si="85"/>
        <v>12877.951119349307</v>
      </c>
      <c r="I87" s="6">
        <f t="shared" si="85"/>
        <v>13005.458599398355</v>
      </c>
      <c r="J87" s="6">
        <f t="shared" si="85"/>
        <v>13133.893764847018</v>
      </c>
      <c r="R87" s="7" t="str">
        <f t="shared" si="75"/>
        <v>Other Non-Current Assets</v>
      </c>
      <c r="T87" s="6">
        <v>13932</v>
      </c>
    </row>
    <row r="88" spans="2:20" x14ac:dyDescent="0.2">
      <c r="B88" s="4" t="s">
        <v>47</v>
      </c>
      <c r="C88" s="5">
        <f>SUM(C81:C87)</f>
        <v>235449</v>
      </c>
      <c r="D88" s="5">
        <f>SUM(D81:D87)</f>
        <v>240824</v>
      </c>
      <c r="E88" s="5">
        <f>SUM(E81:E87)</f>
        <v>239410</v>
      </c>
      <c r="F88" s="5">
        <f>SUM(F81:F87)</f>
        <v>240324.43258403224</v>
      </c>
      <c r="G88" s="5">
        <f t="shared" ref="G88:J88" si="86">SUM(G81:G87)</f>
        <v>241051.69957244082</v>
      </c>
      <c r="H88" s="5">
        <f t="shared" si="86"/>
        <v>241653.27670388742</v>
      </c>
      <c r="I88" s="5">
        <f t="shared" si="86"/>
        <v>242125.32354759067</v>
      </c>
      <c r="J88" s="5">
        <f t="shared" si="86"/>
        <v>242463.91274006374</v>
      </c>
      <c r="R88" s="4" t="str">
        <f t="shared" si="75"/>
        <v>Total Non-Current Assets</v>
      </c>
      <c r="T88" s="5">
        <f>SUM(T81:T87)</f>
        <v>244136</v>
      </c>
    </row>
    <row r="90" spans="2:20" x14ac:dyDescent="0.2">
      <c r="B90" s="4" t="s">
        <v>63</v>
      </c>
      <c r="C90" s="5">
        <f>C88+C78</f>
        <v>257276</v>
      </c>
      <c r="D90" s="5">
        <f>D88+D78</f>
        <v>264811</v>
      </c>
      <c r="E90" s="5">
        <f t="shared" ref="E90:F90" si="87">E88+E78</f>
        <v>266210</v>
      </c>
      <c r="F90" s="5">
        <f t="shared" si="87"/>
        <v>268213.25633742544</v>
      </c>
      <c r="G90" s="5">
        <f t="shared" ref="G90:J90" si="88">G88+G78</f>
        <v>269966.41537901154</v>
      </c>
      <c r="H90" s="5">
        <f t="shared" si="88"/>
        <v>271120.16483736841</v>
      </c>
      <c r="I90" s="5">
        <f t="shared" si="88"/>
        <v>271199.14844391221</v>
      </c>
      <c r="J90" s="5">
        <f t="shared" si="88"/>
        <v>273743.40152359084</v>
      </c>
      <c r="R90" s="4" t="str">
        <f t="shared" si="75"/>
        <v>Total Assets</v>
      </c>
      <c r="T90" s="5">
        <f>T88+T78</f>
        <v>272994</v>
      </c>
    </row>
    <row r="92" spans="2:20" x14ac:dyDescent="0.2">
      <c r="B92" s="14" t="s">
        <v>48</v>
      </c>
      <c r="C92" s="13"/>
      <c r="D92" s="13"/>
      <c r="E92" s="13"/>
      <c r="F92" s="13"/>
      <c r="G92" s="13"/>
      <c r="H92" s="13"/>
      <c r="I92" s="13"/>
      <c r="J92" s="18"/>
      <c r="R92" s="14" t="s">
        <v>48</v>
      </c>
      <c r="S92" s="13"/>
      <c r="T92" s="18"/>
    </row>
    <row r="93" spans="2:20" x14ac:dyDescent="0.2">
      <c r="B93" s="4" t="s">
        <v>49</v>
      </c>
      <c r="R93" s="4" t="str">
        <f>B93</f>
        <v>Current Liabilities</v>
      </c>
    </row>
    <row r="94" spans="2:20" x14ac:dyDescent="0.2">
      <c r="B94" s="7" t="s">
        <v>50</v>
      </c>
      <c r="C94" s="6">
        <v>12544</v>
      </c>
      <c r="D94" s="6">
        <v>12437</v>
      </c>
      <c r="E94" s="6">
        <v>11321</v>
      </c>
      <c r="F94" s="6">
        <f>F223</f>
        <v>11082.800019804319</v>
      </c>
      <c r="G94" s="6">
        <f t="shared" ref="G94:J94" si="89">G223</f>
        <v>10946.430666504795</v>
      </c>
      <c r="H94" s="6">
        <f t="shared" si="89"/>
        <v>10802.182774291658</v>
      </c>
      <c r="I94" s="6">
        <f t="shared" si="89"/>
        <v>10649.831262677339</v>
      </c>
      <c r="J94" s="6">
        <f t="shared" si="89"/>
        <v>10489.145780319528</v>
      </c>
      <c r="R94" s="7" t="str">
        <f t="shared" ref="R94:R111" si="90">B94</f>
        <v>Account Payable</v>
      </c>
      <c r="T94" s="6">
        <v>11689</v>
      </c>
    </row>
    <row r="95" spans="2:20" x14ac:dyDescent="0.2">
      <c r="B95" s="7" t="s">
        <v>51</v>
      </c>
      <c r="C95" s="6">
        <v>2380</v>
      </c>
      <c r="D95" s="6">
        <v>3242</v>
      </c>
      <c r="E95" s="6">
        <v>3507</v>
      </c>
      <c r="F95" s="6">
        <f>F226</f>
        <v>3810.7789299999995</v>
      </c>
      <c r="G95" s="6">
        <f t="shared" ref="G95:J95" si="91">G226</f>
        <v>4122.8821528999988</v>
      </c>
      <c r="H95" s="6">
        <f t="shared" si="91"/>
        <v>4443.4910472277488</v>
      </c>
      <c r="I95" s="6">
        <f t="shared" si="91"/>
        <v>4772.7905599009291</v>
      </c>
      <c r="J95" s="6">
        <f t="shared" si="91"/>
        <v>5110.9692724686774</v>
      </c>
      <c r="R95" s="7" t="str">
        <f t="shared" si="90"/>
        <v>Deferred Revenue</v>
      </c>
      <c r="T95" s="6">
        <v>4218</v>
      </c>
    </row>
    <row r="96" spans="2:20" x14ac:dyDescent="0.2">
      <c r="B96" s="7" t="s">
        <v>100</v>
      </c>
      <c r="C96" s="6">
        <f>1770+9450</f>
        <v>11220</v>
      </c>
      <c r="D96" s="6">
        <v>13284</v>
      </c>
      <c r="E96" s="6">
        <v>10679</v>
      </c>
      <c r="F96" s="6">
        <f>F229</f>
        <v>11636.212699155467</v>
      </c>
      <c r="G96" s="6">
        <f t="shared" ref="G96:J96" si="92">G229</f>
        <v>11833.982442347642</v>
      </c>
      <c r="H96" s="6">
        <f t="shared" si="92"/>
        <v>12035.067129978275</v>
      </c>
      <c r="I96" s="6">
        <f t="shared" si="92"/>
        <v>12239.521712188296</v>
      </c>
      <c r="J96" s="6">
        <f t="shared" si="92"/>
        <v>12447.402041760373</v>
      </c>
      <c r="R96" s="7" t="str">
        <f t="shared" si="90"/>
        <v>Accrued Expenses</v>
      </c>
      <c r="T96" s="6">
        <v>10942</v>
      </c>
    </row>
    <row r="97" spans="2:20" x14ac:dyDescent="0.2">
      <c r="B97" s="7" t="s">
        <v>101</v>
      </c>
      <c r="C97" s="6">
        <v>0</v>
      </c>
      <c r="D97" s="6">
        <v>9167</v>
      </c>
      <c r="E97" s="6">
        <v>9167</v>
      </c>
      <c r="F97" s="6">
        <v>0</v>
      </c>
      <c r="G97" s="6">
        <f t="shared" ref="G97:J97" si="93">F97</f>
        <v>0</v>
      </c>
      <c r="H97" s="6">
        <f t="shared" si="93"/>
        <v>0</v>
      </c>
      <c r="I97" s="6">
        <f t="shared" si="93"/>
        <v>0</v>
      </c>
      <c r="J97" s="6">
        <f t="shared" si="93"/>
        <v>0</v>
      </c>
      <c r="R97" s="7" t="str">
        <f t="shared" si="90"/>
        <v>Advanced on Sale of Investments</v>
      </c>
      <c r="T97" s="6">
        <v>0</v>
      </c>
    </row>
    <row r="98" spans="2:20" x14ac:dyDescent="0.2">
      <c r="B98" s="4" t="s">
        <v>53</v>
      </c>
      <c r="C98" s="5">
        <f t="shared" ref="C98:J98" si="94">SUM(C94:C97)</f>
        <v>26144</v>
      </c>
      <c r="D98" s="5">
        <f t="shared" si="94"/>
        <v>38130</v>
      </c>
      <c r="E98" s="5">
        <f t="shared" si="94"/>
        <v>34674</v>
      </c>
      <c r="F98" s="5">
        <f t="shared" si="94"/>
        <v>26529.791648959785</v>
      </c>
      <c r="G98" s="5">
        <f t="shared" si="94"/>
        <v>26903.295261752435</v>
      </c>
      <c r="H98" s="5">
        <f t="shared" si="94"/>
        <v>27280.740951497683</v>
      </c>
      <c r="I98" s="5">
        <f t="shared" si="94"/>
        <v>27662.143534766565</v>
      </c>
      <c r="J98" s="5">
        <f t="shared" si="94"/>
        <v>28047.517094548581</v>
      </c>
      <c r="R98" s="4" t="str">
        <f t="shared" si="90"/>
        <v>Total Current Liabilities</v>
      </c>
      <c r="T98" s="5">
        <f>SUM(T94:T97)</f>
        <v>26849</v>
      </c>
    </row>
    <row r="100" spans="2:20" x14ac:dyDescent="0.2">
      <c r="B100" s="4" t="s">
        <v>54</v>
      </c>
      <c r="E100" s="4"/>
      <c r="R100" s="4" t="str">
        <f t="shared" si="90"/>
        <v>Non-Current Liabilities</v>
      </c>
    </row>
    <row r="101" spans="2:20" x14ac:dyDescent="0.2">
      <c r="B101" s="7" t="s">
        <v>102</v>
      </c>
      <c r="C101" s="6">
        <f>93086+5172+1743</f>
        <v>100001</v>
      </c>
      <c r="D101" s="6">
        <f>95021+2069</f>
        <v>97090</v>
      </c>
      <c r="E101" s="6">
        <f>94186+4907</f>
        <v>99093</v>
      </c>
      <c r="F101" s="6">
        <f>E101+F59</f>
        <v>94193</v>
      </c>
      <c r="G101" s="6">
        <f t="shared" ref="G101:J101" si="95">F101+G59</f>
        <v>89293</v>
      </c>
      <c r="H101" s="6">
        <f t="shared" si="95"/>
        <v>83593</v>
      </c>
      <c r="I101" s="6">
        <f t="shared" si="95"/>
        <v>76593</v>
      </c>
      <c r="J101" s="6">
        <f t="shared" si="95"/>
        <v>71793</v>
      </c>
      <c r="R101" s="7" t="str">
        <f t="shared" si="90"/>
        <v>Long-Term Debt</v>
      </c>
      <c r="T101" s="6">
        <f>93211+5852</f>
        <v>99063</v>
      </c>
    </row>
    <row r="102" spans="2:20" x14ac:dyDescent="0.2">
      <c r="B102" s="7" t="s">
        <v>55</v>
      </c>
      <c r="C102" s="6">
        <v>28714</v>
      </c>
      <c r="D102" s="6">
        <v>26003</v>
      </c>
      <c r="E102" s="6">
        <v>25227</v>
      </c>
      <c r="F102" s="6">
        <f>E102+F42</f>
        <v>23960.212820214725</v>
      </c>
      <c r="G102" s="6">
        <f t="shared" ref="G102:J102" si="96">F102+G42</f>
        <v>22654.229853265475</v>
      </c>
      <c r="H102" s="6">
        <f t="shared" si="96"/>
        <v>21308.937352038771</v>
      </c>
      <c r="I102" s="6">
        <f t="shared" si="96"/>
        <v>19920.552286669175</v>
      </c>
      <c r="J102" s="6">
        <f t="shared" si="96"/>
        <v>18482.998492682244</v>
      </c>
      <c r="R102" s="7" t="str">
        <f t="shared" si="90"/>
        <v>Deferred Income Tax</v>
      </c>
      <c r="T102" s="6">
        <v>28357</v>
      </c>
    </row>
    <row r="103" spans="2:20" x14ac:dyDescent="0.2">
      <c r="B103" s="7" t="s">
        <v>103</v>
      </c>
      <c r="C103" s="6">
        <v>20395</v>
      </c>
      <c r="D103" s="6">
        <v>20122</v>
      </c>
      <c r="E103" s="6">
        <v>20942</v>
      </c>
      <c r="F103" s="6">
        <f>F232</f>
        <v>21730.646091958617</v>
      </c>
      <c r="G103" s="6">
        <f t="shared" ref="G103:J103" si="97">G232</f>
        <v>22749.447933444386</v>
      </c>
      <c r="H103" s="6">
        <f t="shared" si="97"/>
        <v>23796.512091424385</v>
      </c>
      <c r="I103" s="6">
        <f t="shared" si="97"/>
        <v>24872.496019828399</v>
      </c>
      <c r="J103" s="6">
        <f t="shared" si="97"/>
        <v>25978.07111940566</v>
      </c>
      <c r="R103" s="7" t="str">
        <f t="shared" si="90"/>
        <v>Other Non-Current Liabilities</v>
      </c>
      <c r="T103" s="6">
        <v>21089</v>
      </c>
    </row>
    <row r="104" spans="2:20" x14ac:dyDescent="0.2">
      <c r="B104" s="7" t="s">
        <v>104</v>
      </c>
      <c r="C104" s="6">
        <v>411</v>
      </c>
      <c r="D104" s="6">
        <v>241</v>
      </c>
      <c r="E104" s="6">
        <v>237</v>
      </c>
      <c r="F104" s="6">
        <f>E104</f>
        <v>237</v>
      </c>
      <c r="G104" s="6">
        <f t="shared" ref="G104:J104" si="98">F104</f>
        <v>237</v>
      </c>
      <c r="H104" s="6">
        <f t="shared" si="98"/>
        <v>237</v>
      </c>
      <c r="I104" s="6">
        <f t="shared" si="98"/>
        <v>237</v>
      </c>
      <c r="J104" s="6">
        <f t="shared" si="98"/>
        <v>237</v>
      </c>
      <c r="R104" s="7" t="str">
        <f t="shared" si="90"/>
        <v>Commitments and contigences</v>
      </c>
      <c r="T104" s="6">
        <v>220</v>
      </c>
    </row>
    <row r="105" spans="2:20" x14ac:dyDescent="0.2">
      <c r="B105" s="4" t="s">
        <v>59</v>
      </c>
      <c r="C105" s="5">
        <f>SUM(C101:C104)</f>
        <v>149521</v>
      </c>
      <c r="D105" s="5">
        <f>SUM(D101:D104)</f>
        <v>143456</v>
      </c>
      <c r="E105" s="5">
        <f>SUM(E101:E104)</f>
        <v>145499</v>
      </c>
      <c r="F105" s="5">
        <f t="shared" ref="F105:J105" si="99">SUM(F101:F104)</f>
        <v>140120.85891217334</v>
      </c>
      <c r="G105" s="5">
        <f t="shared" si="99"/>
        <v>134933.67778670986</v>
      </c>
      <c r="H105" s="5">
        <f t="shared" si="99"/>
        <v>128935.44944346316</v>
      </c>
      <c r="I105" s="5">
        <f t="shared" si="99"/>
        <v>121623.04830649757</v>
      </c>
      <c r="J105" s="5">
        <f t="shared" si="99"/>
        <v>116491.0696120879</v>
      </c>
      <c r="R105" s="4" t="str">
        <f t="shared" si="90"/>
        <v>Total Non-Current Liabilities</v>
      </c>
      <c r="T105" s="5">
        <f>SUM(T101:T104)</f>
        <v>148729</v>
      </c>
    </row>
    <row r="106" spans="2:20" x14ac:dyDescent="0.2">
      <c r="B106" s="4"/>
      <c r="C106" s="5"/>
      <c r="D106" s="5"/>
      <c r="E106" s="5"/>
      <c r="F106" s="5"/>
      <c r="G106" s="5"/>
      <c r="H106" s="5"/>
      <c r="I106" s="5"/>
      <c r="J106" s="5"/>
      <c r="R106" s="4"/>
      <c r="T106" s="5"/>
    </row>
    <row r="107" spans="2:20" x14ac:dyDescent="0.2">
      <c r="B107" s="12" t="s">
        <v>60</v>
      </c>
      <c r="C107" s="5">
        <f>C105+C98</f>
        <v>175665</v>
      </c>
      <c r="D107" s="5">
        <f t="shared" ref="D107:J107" si="100">D105+D98</f>
        <v>181586</v>
      </c>
      <c r="E107" s="5">
        <f t="shared" si="100"/>
        <v>180173</v>
      </c>
      <c r="F107" s="5">
        <f t="shared" si="100"/>
        <v>166650.65056113311</v>
      </c>
      <c r="G107" s="5">
        <f t="shared" si="100"/>
        <v>161836.9730484623</v>
      </c>
      <c r="H107" s="5">
        <f t="shared" si="100"/>
        <v>156216.19039496084</v>
      </c>
      <c r="I107" s="5">
        <f t="shared" si="100"/>
        <v>149285.19184126414</v>
      </c>
      <c r="J107" s="5">
        <f t="shared" si="100"/>
        <v>144538.58670663647</v>
      </c>
      <c r="R107" s="4"/>
      <c r="T107" s="5"/>
    </row>
    <row r="109" spans="2:20" x14ac:dyDescent="0.2">
      <c r="B109" s="7" t="s">
        <v>105</v>
      </c>
      <c r="C109" s="6">
        <f>80943-16</f>
        <v>80927</v>
      </c>
      <c r="D109" s="6">
        <v>82702</v>
      </c>
      <c r="E109" s="6">
        <v>85560</v>
      </c>
      <c r="F109" s="6">
        <f>E109+F30+F39+F56+F62+F60+F61+F65+F40+F41+E97</f>
        <v>100738.27244295893</v>
      </c>
      <c r="G109" s="6">
        <f t="shared" ref="G109:J109" si="101">F109+G30+G39+G56+G62+G60+G61+G65+G40+G41</f>
        <v>106957.77566388257</v>
      </c>
      <c r="H109" s="6">
        <f t="shared" si="101"/>
        <v>113384.97444240758</v>
      </c>
      <c r="I109" s="6">
        <f t="shared" si="101"/>
        <v>120047.62326931472</v>
      </c>
      <c r="J109" s="6">
        <f t="shared" si="101"/>
        <v>126991.1481502877</v>
      </c>
      <c r="R109" s="7" t="str">
        <f t="shared" si="90"/>
        <v>Common Equity</v>
      </c>
      <c r="T109" s="6">
        <v>97081</v>
      </c>
    </row>
    <row r="110" spans="2:20" x14ac:dyDescent="0.2">
      <c r="B110" s="7" t="s">
        <v>106</v>
      </c>
      <c r="C110" s="6">
        <v>684</v>
      </c>
      <c r="D110" s="6">
        <v>523</v>
      </c>
      <c r="E110" s="6">
        <v>477</v>
      </c>
      <c r="F110" s="6">
        <f>E110-F29</f>
        <v>824.33333333333326</v>
      </c>
      <c r="G110" s="6">
        <f t="shared" ref="G110:J110" si="102">F110-G29</f>
        <v>1171.6666666666665</v>
      </c>
      <c r="H110" s="6">
        <f t="shared" si="102"/>
        <v>1518.9999999999998</v>
      </c>
      <c r="I110" s="6">
        <f t="shared" si="102"/>
        <v>1866.333333333333</v>
      </c>
      <c r="J110" s="6">
        <f t="shared" si="102"/>
        <v>2213.6666666666665</v>
      </c>
      <c r="R110" s="7" t="str">
        <f t="shared" si="90"/>
        <v>Non-Controlling Interest</v>
      </c>
      <c r="T110" s="6">
        <v>335</v>
      </c>
    </row>
    <row r="111" spans="2:20" x14ac:dyDescent="0.2">
      <c r="B111" s="4" t="s">
        <v>107</v>
      </c>
      <c r="C111" s="5">
        <f>SUM(C109:C110)</f>
        <v>81611</v>
      </c>
      <c r="D111" s="5">
        <f>SUM(D109:D110)</f>
        <v>83225</v>
      </c>
      <c r="E111" s="5">
        <f>SUM(E109:E110)</f>
        <v>86037</v>
      </c>
      <c r="F111" s="5">
        <f>SUM(F109:F110)</f>
        <v>101562.60577629226</v>
      </c>
      <c r="G111" s="5">
        <f t="shared" ref="G111:J111" si="103">SUM(G109:G110)</f>
        <v>108129.44233054924</v>
      </c>
      <c r="H111" s="5">
        <f t="shared" si="103"/>
        <v>114903.97444240758</v>
      </c>
      <c r="I111" s="5">
        <f t="shared" si="103"/>
        <v>121913.95660264805</v>
      </c>
      <c r="J111" s="5">
        <f t="shared" si="103"/>
        <v>129204.81481695437</v>
      </c>
      <c r="R111" s="4" t="str">
        <f t="shared" si="90"/>
        <v>Total Equity</v>
      </c>
      <c r="T111" s="5">
        <f>SUM(T109:T110)</f>
        <v>97416</v>
      </c>
    </row>
    <row r="113" spans="2:20" x14ac:dyDescent="0.2">
      <c r="B113" s="29" t="s">
        <v>62</v>
      </c>
      <c r="C113" s="30" t="str">
        <f t="shared" ref="C113:D113" si="104">IF(AND(C90-C107-C111&lt;1,C90-C107-C111&gt;-1), "OK!",C90-C107-C111)</f>
        <v>OK!</v>
      </c>
      <c r="D113" s="30" t="str">
        <f t="shared" si="104"/>
        <v>OK!</v>
      </c>
      <c r="E113" s="30" t="str">
        <f>IF(AND(E90-E107-E111&lt;1,E90-E107-E111&gt;-1), "OK!",E90-E107-E111)</f>
        <v>OK!</v>
      </c>
      <c r="F113" s="30" t="str">
        <f t="shared" ref="F113:J113" si="105">IF(AND(F90-F107-F111&lt;1,F90-F107-F111&gt;-1), "OK!",F90-F107-F111)</f>
        <v>OK!</v>
      </c>
      <c r="G113" s="30" t="str">
        <f t="shared" si="105"/>
        <v>OK!</v>
      </c>
      <c r="H113" s="30" t="str">
        <f t="shared" si="105"/>
        <v>OK!</v>
      </c>
      <c r="I113" s="30" t="str">
        <f t="shared" si="105"/>
        <v>OK!</v>
      </c>
      <c r="J113" s="30" t="str">
        <f t="shared" si="105"/>
        <v>OK!</v>
      </c>
      <c r="R113" t="s">
        <v>62</v>
      </c>
      <c r="T113" s="6">
        <f>T90-T98-T105-T111</f>
        <v>0</v>
      </c>
    </row>
    <row r="114" spans="2:20" x14ac:dyDescent="0.2">
      <c r="B114" s="29"/>
      <c r="C114" s="30"/>
      <c r="D114" s="30"/>
      <c r="E114" s="30"/>
      <c r="F114" s="30"/>
      <c r="G114" s="30"/>
      <c r="H114" s="30"/>
      <c r="I114" s="30"/>
      <c r="J114" s="30"/>
      <c r="T114" s="6"/>
    </row>
    <row r="115" spans="2:20" x14ac:dyDescent="0.2">
      <c r="B115" s="2"/>
      <c r="C115" s="126" t="s">
        <v>15</v>
      </c>
      <c r="D115" s="126"/>
      <c r="E115" s="127"/>
      <c r="F115" s="128" t="s">
        <v>125</v>
      </c>
      <c r="G115" s="126"/>
      <c r="H115" s="126"/>
      <c r="I115" s="126"/>
      <c r="J115" s="126"/>
      <c r="T115" s="6"/>
    </row>
    <row r="116" spans="2:20" x14ac:dyDescent="0.2">
      <c r="B116" s="10" t="s">
        <v>186</v>
      </c>
      <c r="C116" s="10">
        <v>2022</v>
      </c>
      <c r="D116" s="10">
        <v>2023</v>
      </c>
      <c r="E116" s="10">
        <v>2024</v>
      </c>
      <c r="F116" s="22">
        <v>2025</v>
      </c>
      <c r="G116" s="21">
        <f>F116+1</f>
        <v>2026</v>
      </c>
      <c r="H116" s="21">
        <f t="shared" ref="H116" si="106">G116+1</f>
        <v>2027</v>
      </c>
      <c r="I116" s="21">
        <f t="shared" ref="I116" si="107">H116+1</f>
        <v>2028</v>
      </c>
      <c r="J116" s="21">
        <f t="shared" ref="J116" si="108">I116+1</f>
        <v>2029</v>
      </c>
      <c r="T116" s="6"/>
    </row>
    <row r="117" spans="2:20" x14ac:dyDescent="0.2">
      <c r="B117" t="s">
        <v>258</v>
      </c>
      <c r="F117" s="105">
        <f>F60/Parent_Share_Price</f>
        <v>-229.76027259421878</v>
      </c>
      <c r="G117" s="105">
        <f>G60/Parent_Share_Price</f>
        <v>-233.20667668313206</v>
      </c>
      <c r="H117" s="105">
        <f>H60/Parent_Share_Price</f>
        <v>-236.70477683337901</v>
      </c>
      <c r="I117" s="105">
        <f>I60/Parent_Share_Price</f>
        <v>-240.25534848587969</v>
      </c>
      <c r="J117" s="105">
        <f>J60/Parent_Share_Price</f>
        <v>-243.85917871316784</v>
      </c>
      <c r="T117" s="6"/>
    </row>
    <row r="118" spans="2:20" x14ac:dyDescent="0.2">
      <c r="B118" t="s">
        <v>257</v>
      </c>
      <c r="C118" s="105">
        <f>Parent_Shares</f>
        <v>3603.7504739999999</v>
      </c>
      <c r="D118" s="105">
        <f>Parent_Shares</f>
        <v>3603.7504739999999</v>
      </c>
      <c r="E118" s="105">
        <f>Parent_Shares</f>
        <v>3603.7504739999999</v>
      </c>
      <c r="F118" s="105">
        <f>E118+F117</f>
        <v>3373.9902014057811</v>
      </c>
      <c r="G118" s="105">
        <f t="shared" ref="G118:J118" si="109">F118+G117</f>
        <v>3140.783524722649</v>
      </c>
      <c r="H118" s="105">
        <f t="shared" si="109"/>
        <v>2904.0787478892698</v>
      </c>
      <c r="I118" s="105">
        <f t="shared" si="109"/>
        <v>2663.8233994033903</v>
      </c>
      <c r="J118" s="105">
        <f t="shared" si="109"/>
        <v>2419.9642206902226</v>
      </c>
      <c r="T118" s="6"/>
    </row>
    <row r="119" spans="2:20" x14ac:dyDescent="0.2">
      <c r="C119" s="105"/>
      <c r="D119" s="105"/>
      <c r="E119" s="105"/>
      <c r="F119" s="105"/>
      <c r="G119" s="105"/>
      <c r="H119" s="105"/>
      <c r="I119" s="105"/>
      <c r="J119" s="105"/>
      <c r="T119" s="6"/>
    </row>
    <row r="120" spans="2:20" x14ac:dyDescent="0.2">
      <c r="B120" t="s">
        <v>285</v>
      </c>
      <c r="C120" s="105"/>
      <c r="D120" s="25">
        <f>D11/C11-1</f>
        <v>1.1941331005460576E-3</v>
      </c>
      <c r="E120" s="25">
        <f t="shared" ref="E120:J120" si="110">E11/D11-1</f>
        <v>1.775902345934921E-2</v>
      </c>
      <c r="F120" s="25">
        <f t="shared" si="110"/>
        <v>1.4999999999999902E-2</v>
      </c>
      <c r="G120" s="25">
        <f t="shared" si="110"/>
        <v>1.4999999999999902E-2</v>
      </c>
      <c r="H120" s="25">
        <f t="shared" si="110"/>
        <v>1.4999999999999902E-2</v>
      </c>
      <c r="I120" s="25">
        <f t="shared" si="110"/>
        <v>1.4999999999999902E-2</v>
      </c>
      <c r="J120" s="25">
        <f t="shared" si="110"/>
        <v>1.4999999999999902E-2</v>
      </c>
      <c r="T120" s="6"/>
    </row>
    <row r="121" spans="2:20" x14ac:dyDescent="0.2">
      <c r="T121" s="6"/>
    </row>
    <row r="122" spans="2:20" x14ac:dyDescent="0.2">
      <c r="B122" t="s">
        <v>256</v>
      </c>
      <c r="C122" s="6">
        <f t="shared" ref="C122:E122" si="111">C30/C118</f>
        <v>1.2431493335406774</v>
      </c>
      <c r="D122" s="6">
        <f t="shared" si="111"/>
        <v>4.1137698369956563</v>
      </c>
      <c r="E122" s="6">
        <f t="shared" si="111"/>
        <v>4.3185564906012415</v>
      </c>
      <c r="F122" s="6">
        <f>F30/F118</f>
        <v>4.0354736665553901</v>
      </c>
      <c r="G122" s="6">
        <f t="shared" ref="G122:J122" si="112">G30/G118</f>
        <v>4.4726669319494183</v>
      </c>
      <c r="H122" s="6">
        <f t="shared" si="112"/>
        <v>4.9864220747566046</v>
      </c>
      <c r="I122" s="6">
        <f t="shared" si="112"/>
        <v>5.6144653029306433</v>
      </c>
      <c r="J122" s="6">
        <f t="shared" si="112"/>
        <v>6.4041853392378689</v>
      </c>
      <c r="T122" s="6"/>
    </row>
    <row r="123" spans="2:20" x14ac:dyDescent="0.2">
      <c r="T123" s="6"/>
    </row>
    <row r="124" spans="2:20" x14ac:dyDescent="0.2">
      <c r="B124" t="s">
        <v>187</v>
      </c>
      <c r="C124" s="6">
        <f t="shared" ref="C124:E124" si="113">C23+C36+C37+C38</f>
        <v>36445</v>
      </c>
      <c r="D124" s="6">
        <f t="shared" si="113"/>
        <v>37649</v>
      </c>
      <c r="E124" s="6">
        <f t="shared" si="113"/>
        <v>38099</v>
      </c>
      <c r="F124" s="6">
        <f>F23+F36+F37+F38</f>
        <v>39348.018751256895</v>
      </c>
      <c r="G124" s="6">
        <f t="shared" ref="G124:J124" si="114">G23+G36+G37+G38</f>
        <v>39938.239032525744</v>
      </c>
      <c r="H124" s="6">
        <f t="shared" si="114"/>
        <v>40537.312618013624</v>
      </c>
      <c r="I124" s="6">
        <f t="shared" si="114"/>
        <v>41145.372307283826</v>
      </c>
      <c r="J124" s="6">
        <f t="shared" si="114"/>
        <v>41762.55289189308</v>
      </c>
      <c r="T124" s="6"/>
    </row>
    <row r="125" spans="2:20" x14ac:dyDescent="0.2">
      <c r="B125" t="s">
        <v>3</v>
      </c>
      <c r="C125" s="6">
        <f t="shared" ref="C125:E125" si="115">C23</f>
        <v>14041</v>
      </c>
      <c r="D125" s="6">
        <f t="shared" si="115"/>
        <v>23313</v>
      </c>
      <c r="E125" s="6">
        <f t="shared" si="115"/>
        <v>23298</v>
      </c>
      <c r="F125" s="6">
        <f>F23</f>
        <v>24049.612686483903</v>
      </c>
      <c r="G125" s="6">
        <f t="shared" ref="G125:J125" si="116">G23</f>
        <v>24282.886107306156</v>
      </c>
      <c r="H125" s="6">
        <f t="shared" si="116"/>
        <v>24517.746567898619</v>
      </c>
      <c r="I125" s="6">
        <f t="shared" si="116"/>
        <v>24754.189192934718</v>
      </c>
      <c r="J125" s="6">
        <f t="shared" si="116"/>
        <v>24992.208603744119</v>
      </c>
      <c r="T125" s="6"/>
    </row>
    <row r="126" spans="2:20" x14ac:dyDescent="0.2">
      <c r="C126" s="6"/>
      <c r="D126" s="6"/>
      <c r="E126" s="6"/>
      <c r="F126" s="6"/>
      <c r="G126" s="6"/>
      <c r="H126" s="6"/>
      <c r="I126" s="6"/>
      <c r="J126" s="6"/>
      <c r="T126" s="6"/>
    </row>
    <row r="127" spans="2:20" x14ac:dyDescent="0.2">
      <c r="B127" t="s">
        <v>277</v>
      </c>
      <c r="C127" s="6">
        <f>C101-C75</f>
        <v>95252</v>
      </c>
      <c r="D127" s="6">
        <f t="shared" ref="D127:J127" si="117">D101-D75</f>
        <v>90875</v>
      </c>
      <c r="E127" s="6">
        <f t="shared" si="117"/>
        <v>91771</v>
      </c>
      <c r="F127" s="6">
        <f t="shared" si="117"/>
        <v>86206.680093042422</v>
      </c>
      <c r="G127" s="6">
        <f t="shared" si="117"/>
        <v>80834.267136511422</v>
      </c>
      <c r="H127" s="6">
        <f t="shared" si="117"/>
        <v>75147.700215781573</v>
      </c>
      <c r="I127" s="6">
        <f t="shared" si="117"/>
        <v>69118.734425144765</v>
      </c>
      <c r="J127" s="6">
        <f t="shared" si="117"/>
        <v>62703.650781930417</v>
      </c>
      <c r="T127" s="6"/>
    </row>
    <row r="128" spans="2:20" x14ac:dyDescent="0.2">
      <c r="B128" t="s">
        <v>278</v>
      </c>
      <c r="C128" s="108">
        <f>C127/C124</f>
        <v>2.6135821100288106</v>
      </c>
      <c r="D128" s="108">
        <f t="shared" ref="D128:J128" si="118">D127/D124</f>
        <v>2.4137427288905418</v>
      </c>
      <c r="E128" s="108">
        <f t="shared" si="118"/>
        <v>2.4087508858500222</v>
      </c>
      <c r="F128" s="108">
        <f t="shared" si="118"/>
        <v>2.1908772748637748</v>
      </c>
      <c r="G128" s="108">
        <f t="shared" si="118"/>
        <v>2.0239817551965653</v>
      </c>
      <c r="H128" s="108">
        <f t="shared" si="118"/>
        <v>1.8537908746912859</v>
      </c>
      <c r="I128" s="108">
        <f t="shared" si="118"/>
        <v>1.6798665451110504</v>
      </c>
      <c r="J128" s="108">
        <f t="shared" si="118"/>
        <v>1.5014324182778207</v>
      </c>
      <c r="T128" s="6"/>
    </row>
    <row r="129" spans="2:20" x14ac:dyDescent="0.2">
      <c r="T129" s="6"/>
    </row>
    <row r="130" spans="2:20" x14ac:dyDescent="0.2">
      <c r="B130" t="s">
        <v>259</v>
      </c>
      <c r="C130" s="6">
        <f t="shared" ref="C130:E130" si="119">C109+C101</f>
        <v>180928</v>
      </c>
      <c r="D130" s="6">
        <f t="shared" si="119"/>
        <v>179792</v>
      </c>
      <c r="E130" s="6">
        <f t="shared" si="119"/>
        <v>184653</v>
      </c>
      <c r="F130" s="6">
        <f>F109+F101</f>
        <v>194931.27244295893</v>
      </c>
      <c r="G130" s="6">
        <f t="shared" ref="G130:J130" si="120">G109+G101</f>
        <v>196250.77566388255</v>
      </c>
      <c r="H130" s="6">
        <f t="shared" si="120"/>
        <v>196977.97444240758</v>
      </c>
      <c r="I130" s="6">
        <f t="shared" si="120"/>
        <v>196640.6232693147</v>
      </c>
      <c r="J130" s="6">
        <f t="shared" si="120"/>
        <v>198784.14815028768</v>
      </c>
      <c r="T130" s="6"/>
    </row>
    <row r="131" spans="2:20" x14ac:dyDescent="0.2">
      <c r="B131" t="s">
        <v>260</v>
      </c>
      <c r="C131" s="6">
        <f t="shared" ref="C131:J131" si="121">C23*(1-Parent_Marginal_Rate)</f>
        <v>11092.390000000001</v>
      </c>
      <c r="D131" s="6">
        <f t="shared" si="121"/>
        <v>18417.27</v>
      </c>
      <c r="E131" s="6">
        <f t="shared" si="121"/>
        <v>18405.420000000002</v>
      </c>
      <c r="F131" s="6">
        <f t="shared" si="121"/>
        <v>18999.194022322285</v>
      </c>
      <c r="G131" s="6">
        <f t="shared" si="121"/>
        <v>19183.480024771863</v>
      </c>
      <c r="H131" s="6">
        <f t="shared" si="121"/>
        <v>19369.019788639911</v>
      </c>
      <c r="I131" s="6">
        <f t="shared" si="121"/>
        <v>19555.809462418427</v>
      </c>
      <c r="J131" s="6">
        <f t="shared" si="121"/>
        <v>19743.844796957856</v>
      </c>
      <c r="T131" s="6"/>
    </row>
    <row r="132" spans="2:20" x14ac:dyDescent="0.2">
      <c r="C132" s="6"/>
      <c r="D132" s="6"/>
      <c r="E132" s="6"/>
      <c r="F132" s="6"/>
      <c r="G132" s="6"/>
      <c r="H132" s="6"/>
      <c r="I132" s="6"/>
      <c r="J132" s="6"/>
      <c r="T132" s="6"/>
    </row>
    <row r="133" spans="2:20" x14ac:dyDescent="0.2">
      <c r="B133" t="s">
        <v>262</v>
      </c>
      <c r="C133" s="25">
        <f t="shared" ref="C133:E133" si="122">C131/C130</f>
        <v>6.130831048814999E-2</v>
      </c>
      <c r="D133" s="25">
        <f t="shared" si="122"/>
        <v>0.10243653777698675</v>
      </c>
      <c r="E133" s="25">
        <f t="shared" si="122"/>
        <v>9.9675716072850168E-2</v>
      </c>
      <c r="F133" s="25">
        <f>F131/F130</f>
        <v>9.7466116053194371E-2</v>
      </c>
      <c r="G133" s="25">
        <f>G131/G130</f>
        <v>9.7749830337625201E-2</v>
      </c>
      <c r="H133" s="25">
        <f>H131/H130</f>
        <v>9.8330891275882348E-2</v>
      </c>
      <c r="I133" s="25">
        <f>I131/I130</f>
        <v>9.9449488804941477E-2</v>
      </c>
      <c r="J133" s="25">
        <f>J131/J130</f>
        <v>9.9323034460629261E-2</v>
      </c>
      <c r="T133" s="6"/>
    </row>
    <row r="134" spans="2:20" x14ac:dyDescent="0.2">
      <c r="B134" t="s">
        <v>263</v>
      </c>
      <c r="C134" s="25">
        <f>C30/C109</f>
        <v>5.5358532998875533E-2</v>
      </c>
      <c r="D134" s="25">
        <f t="shared" ref="D134:J134" si="123">D30/D109</f>
        <v>0.17925805905540373</v>
      </c>
      <c r="E134" s="25">
        <f t="shared" si="123"/>
        <v>0.18189574567554931</v>
      </c>
      <c r="F134" s="25">
        <f t="shared" si="123"/>
        <v>0.13515864704448394</v>
      </c>
      <c r="G134" s="25">
        <f t="shared" si="123"/>
        <v>0.13133854480653848</v>
      </c>
      <c r="H134" s="25">
        <f t="shared" si="123"/>
        <v>0.12771500321378113</v>
      </c>
      <c r="I134" s="25">
        <f t="shared" si="123"/>
        <v>0.12458342482577053</v>
      </c>
      <c r="J134" s="25">
        <f t="shared" si="123"/>
        <v>0.12203920989267321</v>
      </c>
      <c r="T134" s="6"/>
    </row>
    <row r="135" spans="2:20" x14ac:dyDescent="0.2">
      <c r="C135" s="25"/>
      <c r="D135" s="25"/>
      <c r="E135" s="25"/>
      <c r="F135" s="25"/>
      <c r="G135" s="25"/>
      <c r="H135" s="25"/>
      <c r="I135" s="25"/>
      <c r="J135" s="25"/>
      <c r="T135" s="6"/>
    </row>
    <row r="136" spans="2:20" x14ac:dyDescent="0.2">
      <c r="B136" t="s">
        <v>127</v>
      </c>
      <c r="C136" s="25">
        <f>C13/C11</f>
        <v>0.68530063330231328</v>
      </c>
      <c r="D136" s="25">
        <f t="shared" ref="D136:J136" si="124">D13/D11</f>
        <v>0.69761129207383277</v>
      </c>
      <c r="E136" s="25">
        <f t="shared" si="124"/>
        <v>0.70075405516806621</v>
      </c>
      <c r="F136" s="25">
        <f t="shared" si="124"/>
        <v>0.7</v>
      </c>
      <c r="G136" s="25">
        <f t="shared" si="124"/>
        <v>0.7</v>
      </c>
      <c r="H136" s="25">
        <f t="shared" si="124"/>
        <v>0.70000000000000007</v>
      </c>
      <c r="I136" s="25">
        <f t="shared" si="124"/>
        <v>0.7</v>
      </c>
      <c r="J136" s="25">
        <f t="shared" si="124"/>
        <v>0.7</v>
      </c>
      <c r="T136" s="6"/>
    </row>
    <row r="137" spans="2:20" x14ac:dyDescent="0.2">
      <c r="B137" t="s">
        <v>264</v>
      </c>
      <c r="C137" s="25">
        <f>C125/C11</f>
        <v>0.11563326113632058</v>
      </c>
      <c r="D137" s="25">
        <f t="shared" ref="D137:J137" si="125">D125/D11</f>
        <v>0.19176290593228704</v>
      </c>
      <c r="E137" s="25">
        <f t="shared" si="125"/>
        <v>0.18829557669460362</v>
      </c>
      <c r="F137" s="25">
        <f t="shared" si="125"/>
        <v>0.19149768199656633</v>
      </c>
      <c r="G137" s="25">
        <f t="shared" si="125"/>
        <v>0.19049768199656633</v>
      </c>
      <c r="H137" s="25">
        <f t="shared" si="125"/>
        <v>0.1894976819965663</v>
      </c>
      <c r="I137" s="25">
        <f t="shared" si="125"/>
        <v>0.18849768199656633</v>
      </c>
      <c r="J137" s="25">
        <f t="shared" si="125"/>
        <v>0.18749768199656633</v>
      </c>
      <c r="T137" s="6"/>
    </row>
    <row r="138" spans="2:20" x14ac:dyDescent="0.2">
      <c r="B138" t="s">
        <v>265</v>
      </c>
      <c r="C138" s="25">
        <f>C124/C11</f>
        <v>0.30013917827171882</v>
      </c>
      <c r="D138" s="25">
        <f t="shared" ref="D138:J138" si="126">D124/D11</f>
        <v>0.30968479584114761</v>
      </c>
      <c r="E138" s="25">
        <f t="shared" si="126"/>
        <v>0.30791798336714321</v>
      </c>
      <c r="F138" s="25">
        <f t="shared" si="126"/>
        <v>0.31331292026411262</v>
      </c>
      <c r="G138" s="25">
        <f t="shared" si="126"/>
        <v>0.31331292026411262</v>
      </c>
      <c r="H138" s="25">
        <f t="shared" si="126"/>
        <v>0.31331292026411262</v>
      </c>
      <c r="I138" s="25">
        <f t="shared" si="126"/>
        <v>0.31331292026411262</v>
      </c>
      <c r="J138" s="25">
        <f t="shared" si="126"/>
        <v>0.31331292026411262</v>
      </c>
      <c r="T138" s="6"/>
    </row>
    <row r="139" spans="2:20" x14ac:dyDescent="0.2">
      <c r="B139" t="s">
        <v>266</v>
      </c>
      <c r="C139" s="25">
        <f>C30/C11</f>
        <v>3.6894595106524909E-2</v>
      </c>
      <c r="D139" s="25">
        <f t="shared" ref="D139:J139" si="127">D30/D11</f>
        <v>0.1219441976770967</v>
      </c>
      <c r="E139" s="25">
        <f t="shared" si="127"/>
        <v>0.12578092798086171</v>
      </c>
      <c r="F139" s="25">
        <f t="shared" si="127"/>
        <v>0.10841609723579951</v>
      </c>
      <c r="G139" s="25">
        <f t="shared" si="127"/>
        <v>0.11020313652530052</v>
      </c>
      <c r="H139" s="25">
        <f t="shared" si="127"/>
        <v>0.11192336928684064</v>
      </c>
      <c r="I139" s="25">
        <f t="shared" si="127"/>
        <v>0.11388620985927983</v>
      </c>
      <c r="J139" s="25">
        <f t="shared" si="127"/>
        <v>0.11626904433769357</v>
      </c>
      <c r="T139" s="6"/>
    </row>
    <row r="140" spans="2:20" x14ac:dyDescent="0.2">
      <c r="C140" s="25"/>
      <c r="D140" s="25"/>
      <c r="E140" s="25"/>
      <c r="F140" s="25"/>
      <c r="G140" s="25"/>
      <c r="H140" s="25"/>
      <c r="I140" s="25"/>
      <c r="J140" s="25"/>
      <c r="T140" s="6"/>
    </row>
    <row r="141" spans="2:20" x14ac:dyDescent="0.2">
      <c r="B141" t="s">
        <v>274</v>
      </c>
      <c r="C141" s="25"/>
      <c r="D141" s="25"/>
      <c r="E141" s="108">
        <f t="shared" ref="E141:J141" si="128">Parent_Share_Price/E122</f>
        <v>6.3285035310942614</v>
      </c>
      <c r="F141" s="108">
        <f t="shared" si="128"/>
        <v>6.7724391876229015</v>
      </c>
      <c r="G141" s="108">
        <f t="shared" si="128"/>
        <v>6.110448288642897</v>
      </c>
      <c r="H141" s="108">
        <f t="shared" si="128"/>
        <v>5.4808838061174399</v>
      </c>
      <c r="I141" s="108">
        <f t="shared" si="128"/>
        <v>4.8677832216247312</v>
      </c>
      <c r="J141" s="108">
        <f t="shared" si="128"/>
        <v>4.267521714674861</v>
      </c>
      <c r="T141" s="6"/>
    </row>
    <row r="142" spans="2:20" x14ac:dyDescent="0.2">
      <c r="B142" t="s">
        <v>276</v>
      </c>
      <c r="C142" s="25"/>
      <c r="D142" s="25"/>
      <c r="E142" s="108">
        <f t="shared" ref="E142:J142" si="129">ParentCo_Enterprise_Value/E124</f>
        <v>4.6016478266480076</v>
      </c>
      <c r="F142" s="108">
        <f t="shared" si="129"/>
        <v>4.4555783521339869</v>
      </c>
      <c r="G142" s="108">
        <f t="shared" si="129"/>
        <v>4.3897323666344708</v>
      </c>
      <c r="H142" s="108">
        <f t="shared" si="129"/>
        <v>4.3248594745167201</v>
      </c>
      <c r="I142" s="108">
        <f t="shared" si="129"/>
        <v>4.260945295090365</v>
      </c>
      <c r="J142" s="108">
        <f t="shared" si="129"/>
        <v>4.1979756601875522</v>
      </c>
      <c r="T142" s="6"/>
    </row>
    <row r="144" spans="2:20" x14ac:dyDescent="0.2">
      <c r="B144" s="2"/>
      <c r="C144" s="126" t="s">
        <v>15</v>
      </c>
      <c r="D144" s="126"/>
      <c r="E144" s="127"/>
      <c r="F144" s="128" t="s">
        <v>125</v>
      </c>
      <c r="G144" s="126"/>
      <c r="H144" s="126"/>
      <c r="I144" s="126"/>
      <c r="J144" s="126"/>
    </row>
    <row r="145" spans="2:10" x14ac:dyDescent="0.2">
      <c r="B145" s="10" t="s">
        <v>136</v>
      </c>
      <c r="C145" s="10">
        <v>2022</v>
      </c>
      <c r="D145" s="10">
        <v>2023</v>
      </c>
      <c r="E145" s="10">
        <v>2024</v>
      </c>
      <c r="F145" s="22">
        <v>2025</v>
      </c>
      <c r="G145" s="21">
        <f>F145+1</f>
        <v>2026</v>
      </c>
      <c r="H145" s="21">
        <f t="shared" ref="H145:J145" si="130">G145+1</f>
        <v>2027</v>
      </c>
      <c r="I145" s="21">
        <f t="shared" si="130"/>
        <v>2028</v>
      </c>
      <c r="J145" s="21">
        <f t="shared" si="130"/>
        <v>2029</v>
      </c>
    </row>
    <row r="146" spans="2:10" x14ac:dyDescent="0.2">
      <c r="B146" t="s">
        <v>1</v>
      </c>
      <c r="C146" s="6">
        <f>C11</f>
        <v>121427</v>
      </c>
      <c r="D146" s="6">
        <f>D11</f>
        <v>121572</v>
      </c>
      <c r="E146" s="6">
        <f>E11</f>
        <v>123731</v>
      </c>
      <c r="F146" s="6">
        <f>E146*(1+F147)</f>
        <v>125586.96499999998</v>
      </c>
      <c r="G146" s="6">
        <f t="shared" ref="G146:J146" si="131">F146*(1+G147)</f>
        <v>127470.76947499996</v>
      </c>
      <c r="H146" s="6">
        <f t="shared" si="131"/>
        <v>129382.83101712495</v>
      </c>
      <c r="I146" s="6">
        <f t="shared" si="131"/>
        <v>131323.57348238182</v>
      </c>
      <c r="J146" s="6">
        <f t="shared" si="131"/>
        <v>133293.42708461752</v>
      </c>
    </row>
    <row r="147" spans="2:10" x14ac:dyDescent="0.2">
      <c r="B147" s="7" t="s">
        <v>192</v>
      </c>
      <c r="D147" s="25">
        <f>D146/C146-1</f>
        <v>1.1941331005460576E-3</v>
      </c>
      <c r="E147" s="25">
        <f t="shared" ref="E147" si="132">E146/D146-1</f>
        <v>1.775902345934921E-2</v>
      </c>
      <c r="F147" s="26">
        <v>1.4999999999999999E-2</v>
      </c>
      <c r="G147" s="26">
        <v>1.4999999999999999E-2</v>
      </c>
      <c r="H147" s="26">
        <v>1.4999999999999999E-2</v>
      </c>
      <c r="I147" s="26">
        <v>1.4999999999999999E-2</v>
      </c>
      <c r="J147" s="26">
        <v>1.4999999999999999E-2</v>
      </c>
    </row>
    <row r="149" spans="2:10" x14ac:dyDescent="0.2">
      <c r="B149" t="s">
        <v>6</v>
      </c>
      <c r="C149" s="6">
        <f>C13</f>
        <v>83214</v>
      </c>
      <c r="D149" s="6">
        <f>D13</f>
        <v>84810</v>
      </c>
      <c r="E149" s="6">
        <f>E13</f>
        <v>86705</v>
      </c>
      <c r="F149" s="6">
        <f>F150*F146</f>
        <v>87910.87549999998</v>
      </c>
      <c r="G149" s="6">
        <f t="shared" ref="G149:J149" si="133">G150*G146</f>
        <v>89229.538632499971</v>
      </c>
      <c r="H149" s="6">
        <f t="shared" si="133"/>
        <v>90567.981711987464</v>
      </c>
      <c r="I149" s="6">
        <f t="shared" si="133"/>
        <v>91926.501437667263</v>
      </c>
      <c r="J149" s="6">
        <f t="shared" si="133"/>
        <v>93305.398959232261</v>
      </c>
    </row>
    <row r="150" spans="2:10" x14ac:dyDescent="0.2">
      <c r="B150" s="7" t="s">
        <v>193</v>
      </c>
      <c r="C150" s="25">
        <f>C149/C146</f>
        <v>0.68530063330231328</v>
      </c>
      <c r="D150" s="25">
        <f t="shared" ref="D150:E150" si="134">D149/D146</f>
        <v>0.69761129207383277</v>
      </c>
      <c r="E150" s="25">
        <f t="shared" si="134"/>
        <v>0.70075405516806621</v>
      </c>
      <c r="F150" s="26">
        <v>0.7</v>
      </c>
      <c r="G150" s="26">
        <v>0.7</v>
      </c>
      <c r="H150" s="26">
        <v>0.7</v>
      </c>
      <c r="I150" s="26">
        <v>0.7</v>
      </c>
      <c r="J150" s="26">
        <v>0.7</v>
      </c>
    </row>
    <row r="152" spans="2:10" x14ac:dyDescent="0.2">
      <c r="B152" t="s">
        <v>194</v>
      </c>
      <c r="C152" s="6">
        <f>-C16</f>
        <v>8506</v>
      </c>
      <c r="D152" s="6">
        <f>-D16</f>
        <v>7971</v>
      </c>
      <c r="E152" s="6">
        <f>-E16</f>
        <v>8073</v>
      </c>
      <c r="F152" s="6">
        <f>F153*F11</f>
        <v>8163.152724999999</v>
      </c>
      <c r="G152" s="6">
        <f>G153*G11</f>
        <v>8285.6000158749976</v>
      </c>
      <c r="H152" s="6">
        <f>H153*H11</f>
        <v>8409.8840161131211</v>
      </c>
      <c r="I152" s="6">
        <f>I153*I11</f>
        <v>8536.0322763548193</v>
      </c>
      <c r="J152" s="6">
        <f>J153*J11</f>
        <v>8664.0727605001393</v>
      </c>
    </row>
    <row r="153" spans="2:10" x14ac:dyDescent="0.2">
      <c r="B153" s="7" t="s">
        <v>129</v>
      </c>
      <c r="C153" s="25">
        <f>C152/C11</f>
        <v>7.0050318298236797E-2</v>
      </c>
      <c r="D153" s="25">
        <f>D152/D11</f>
        <v>6.5566084295725996E-2</v>
      </c>
      <c r="E153" s="25">
        <f>E152/E11</f>
        <v>6.5246381262577688E-2</v>
      </c>
      <c r="F153" s="26">
        <v>6.5000000000000002E-2</v>
      </c>
      <c r="G153" s="26">
        <v>6.5000000000000002E-2</v>
      </c>
      <c r="H153" s="26">
        <v>6.5000000000000002E-2</v>
      </c>
      <c r="I153" s="26">
        <v>6.5000000000000002E-2</v>
      </c>
      <c r="J153" s="26">
        <v>6.5000000000000002E-2</v>
      </c>
    </row>
    <row r="155" spans="2:10" x14ac:dyDescent="0.2">
      <c r="B155" t="s">
        <v>195</v>
      </c>
      <c r="C155" s="6">
        <f>-C17</f>
        <v>38263</v>
      </c>
      <c r="D155" s="6">
        <f>-D17</f>
        <v>39190</v>
      </c>
      <c r="E155" s="6">
        <f>-E17</f>
        <v>40533</v>
      </c>
      <c r="F155" s="6">
        <f>F156*F146</f>
        <v>40399.704023743092</v>
      </c>
      <c r="G155" s="6">
        <f t="shared" ref="G155:J155" si="135">G156*G146</f>
        <v>41005.699584099231</v>
      </c>
      <c r="H155" s="6">
        <f t="shared" si="135"/>
        <v>41620.785077860717</v>
      </c>
      <c r="I155" s="6">
        <f t="shared" si="135"/>
        <v>42245.096854028627</v>
      </c>
      <c r="J155" s="6">
        <f t="shared" si="135"/>
        <v>42878.773306839052</v>
      </c>
    </row>
    <row r="156" spans="2:10" x14ac:dyDescent="0.2">
      <c r="B156" s="7" t="s">
        <v>129</v>
      </c>
      <c r="C156" s="25">
        <f>C155/C146</f>
        <v>0.31511113673235769</v>
      </c>
      <c r="D156" s="25">
        <f t="shared" ref="D156:E156" si="136">D155/D146</f>
        <v>0.32236041193695919</v>
      </c>
      <c r="E156" s="25">
        <f t="shared" si="136"/>
        <v>0.3275896905383453</v>
      </c>
      <c r="F156" s="26">
        <f>AVERAGE(C156:E156)</f>
        <v>0.32168707973588739</v>
      </c>
      <c r="G156" s="26">
        <f>F156</f>
        <v>0.32168707973588739</v>
      </c>
      <c r="H156" s="26">
        <f t="shared" ref="H156:J156" si="137">G156</f>
        <v>0.32168707973588739</v>
      </c>
      <c r="I156" s="26">
        <f t="shared" si="137"/>
        <v>0.32168707973588739</v>
      </c>
      <c r="J156" s="26">
        <f t="shared" si="137"/>
        <v>0.32168707973588739</v>
      </c>
    </row>
    <row r="158" spans="2:10" x14ac:dyDescent="0.2">
      <c r="B158" t="s">
        <v>196</v>
      </c>
      <c r="C158" s="6">
        <f>-C18</f>
        <v>8724</v>
      </c>
      <c r="D158" s="6">
        <f>-D18</f>
        <v>8854</v>
      </c>
      <c r="E158" s="6">
        <f>-E18</f>
        <v>8729</v>
      </c>
      <c r="F158" s="6">
        <f>F159*F146</f>
        <v>9009.7390997729926</v>
      </c>
      <c r="G158" s="6">
        <f t="shared" ref="G158:J158" si="138">G159*G146</f>
        <v>9144.8851862695865</v>
      </c>
      <c r="H158" s="6">
        <f t="shared" si="138"/>
        <v>9282.058464063628</v>
      </c>
      <c r="I158" s="6">
        <f t="shared" si="138"/>
        <v>9421.2893410245833</v>
      </c>
      <c r="J158" s="6">
        <f t="shared" si="138"/>
        <v>9562.6086811399491</v>
      </c>
    </row>
    <row r="159" spans="2:10" x14ac:dyDescent="0.2">
      <c r="B159" s="7" t="s">
        <v>129</v>
      </c>
      <c r="C159" s="25">
        <f>C158/C146</f>
        <v>7.1845635649402523E-2</v>
      </c>
      <c r="D159" s="25">
        <f t="shared" ref="D159:E159" si="139">D158/D146</f>
        <v>7.2829269897673812E-2</v>
      </c>
      <c r="E159" s="25">
        <f t="shared" si="139"/>
        <v>7.0548205381028198E-2</v>
      </c>
      <c r="F159" s="26">
        <f>AVERAGE(C159:E159)</f>
        <v>7.1741036976034844E-2</v>
      </c>
      <c r="G159" s="26">
        <f>F159</f>
        <v>7.1741036976034844E-2</v>
      </c>
      <c r="H159" s="26">
        <f t="shared" ref="H159:J159" si="140">G159</f>
        <v>7.1741036976034844E-2</v>
      </c>
      <c r="I159" s="26">
        <f t="shared" si="140"/>
        <v>7.1741036976034844E-2</v>
      </c>
      <c r="J159" s="26">
        <f t="shared" si="140"/>
        <v>7.1741036976034844E-2</v>
      </c>
    </row>
    <row r="161" spans="2:10" x14ac:dyDescent="0.2">
      <c r="B161" t="s">
        <v>197</v>
      </c>
      <c r="C161" s="6">
        <f>-C19</f>
        <v>5097</v>
      </c>
      <c r="D161" s="6">
        <f>-D19</f>
        <v>5482</v>
      </c>
      <c r="E161" s="6">
        <f>-E19</f>
        <v>6072</v>
      </c>
      <c r="F161" s="6">
        <f>F162*F146</f>
        <v>6288.6669649999994</v>
      </c>
      <c r="G161" s="6">
        <f t="shared" ref="G161:J161" si="141">G162*G146</f>
        <v>6510.4677389499984</v>
      </c>
      <c r="H161" s="6">
        <f t="shared" si="141"/>
        <v>6737.5075860513725</v>
      </c>
      <c r="I161" s="6">
        <f t="shared" si="141"/>
        <v>6969.8937733245248</v>
      </c>
      <c r="J161" s="6">
        <f t="shared" si="141"/>
        <v>7207.7356070090091</v>
      </c>
    </row>
    <row r="162" spans="2:10" x14ac:dyDescent="0.2">
      <c r="B162" s="7" t="s">
        <v>129</v>
      </c>
      <c r="C162" s="25">
        <f>C161/C146</f>
        <v>4.1975837334365503E-2</v>
      </c>
      <c r="D162" s="25">
        <f t="shared" ref="D162:E162" si="142">D161/D146</f>
        <v>4.5092620011186788E-2</v>
      </c>
      <c r="E162" s="25">
        <f t="shared" si="142"/>
        <v>4.9074201291511424E-2</v>
      </c>
      <c r="F162" s="26">
        <f>E162+0.1%</f>
        <v>5.0074201291511425E-2</v>
      </c>
      <c r="G162" s="26">
        <f t="shared" ref="G162:J162" si="143">F162+0.1%</f>
        <v>5.1074201291511426E-2</v>
      </c>
      <c r="H162" s="26">
        <f t="shared" si="143"/>
        <v>5.2074201291511427E-2</v>
      </c>
      <c r="I162" s="26">
        <f t="shared" si="143"/>
        <v>5.3074201291511428E-2</v>
      </c>
      <c r="J162" s="26">
        <f t="shared" si="143"/>
        <v>5.4074201291511428E-2</v>
      </c>
    </row>
    <row r="164" spans="2:10" x14ac:dyDescent="0.2">
      <c r="B164" t="s">
        <v>198</v>
      </c>
      <c r="C164" s="6">
        <f>C20</f>
        <v>-8583</v>
      </c>
      <c r="D164" s="6">
        <f>D20</f>
        <v>0</v>
      </c>
      <c r="E164" s="6">
        <f>E20</f>
        <v>0</v>
      </c>
      <c r="F164" s="28">
        <v>0</v>
      </c>
      <c r="G164" s="28">
        <v>0</v>
      </c>
      <c r="H164" s="28">
        <v>0</v>
      </c>
      <c r="I164" s="28">
        <v>0</v>
      </c>
      <c r="J164" s="28">
        <v>0</v>
      </c>
    </row>
    <row r="166" spans="2:10" x14ac:dyDescent="0.2">
      <c r="B166" t="s">
        <v>132</v>
      </c>
      <c r="C166" s="6">
        <f>-C27</f>
        <v>4359</v>
      </c>
      <c r="D166" s="6">
        <f>-D27</f>
        <v>5371</v>
      </c>
      <c r="E166" s="6">
        <f>-E27</f>
        <v>2796</v>
      </c>
      <c r="F166" s="6">
        <f>F167*F26</f>
        <v>3711.6787441616193</v>
      </c>
      <c r="G166" s="6">
        <f>G167*G26</f>
        <v>3826.5221625342929</v>
      </c>
      <c r="H166" s="6">
        <f>H167*H26</f>
        <v>3941.6988592587099</v>
      </c>
      <c r="I166" s="6">
        <f>I167*I26</f>
        <v>4067.9598105162904</v>
      </c>
      <c r="J166" s="6">
        <f>J167*J26</f>
        <v>4212.0238867862645</v>
      </c>
    </row>
    <row r="167" spans="2:10" x14ac:dyDescent="0.2">
      <c r="B167" s="7" t="s">
        <v>133</v>
      </c>
      <c r="C167" s="25">
        <f>C166/C26</f>
        <v>0.46951744937526929</v>
      </c>
      <c r="D167" s="25">
        <f>D166/D26</f>
        <v>0.26228147280007813</v>
      </c>
      <c r="E167" s="25">
        <f>E166/E26</f>
        <v>0.14972689300631895</v>
      </c>
      <c r="F167" s="26">
        <v>0.21</v>
      </c>
      <c r="G167" s="26">
        <v>0.21</v>
      </c>
      <c r="H167" s="26">
        <v>0.21</v>
      </c>
      <c r="I167" s="26">
        <v>0.21</v>
      </c>
      <c r="J167" s="26">
        <v>0.21</v>
      </c>
    </row>
    <row r="169" spans="2:10" x14ac:dyDescent="0.2">
      <c r="B169" t="s">
        <v>106</v>
      </c>
      <c r="C169" s="6">
        <f>C29</f>
        <v>-445</v>
      </c>
      <c r="D169" s="6">
        <f>D29</f>
        <v>-282</v>
      </c>
      <c r="E169" s="6">
        <f>E29</f>
        <v>-315</v>
      </c>
      <c r="F169" s="28">
        <f>AVERAGE(C169:E169)</f>
        <v>-347.33333333333331</v>
      </c>
      <c r="G169" s="28">
        <f>F169</f>
        <v>-347.33333333333331</v>
      </c>
      <c r="H169" s="28">
        <f t="shared" ref="H169:J169" si="144">G169</f>
        <v>-347.33333333333331</v>
      </c>
      <c r="I169" s="28">
        <f t="shared" si="144"/>
        <v>-347.33333333333331</v>
      </c>
      <c r="J169" s="28">
        <f t="shared" si="144"/>
        <v>-347.33333333333331</v>
      </c>
    </row>
    <row r="171" spans="2:10" x14ac:dyDescent="0.2">
      <c r="B171" t="s">
        <v>131</v>
      </c>
      <c r="C171" s="6">
        <f>C25</f>
        <v>-861</v>
      </c>
      <c r="D171" s="6">
        <f>D25</f>
        <v>1252</v>
      </c>
      <c r="E171" s="6">
        <f>E25</f>
        <v>-490</v>
      </c>
      <c r="F171" s="28">
        <f>AVERAGE(C171:E171)</f>
        <v>-33</v>
      </c>
      <c r="G171" s="28">
        <f>F171</f>
        <v>-33</v>
      </c>
      <c r="H171" s="28">
        <f t="shared" ref="H171:J171" si="145">G171</f>
        <v>-33</v>
      </c>
      <c r="I171" s="28">
        <f t="shared" si="145"/>
        <v>-33</v>
      </c>
      <c r="J171" s="28">
        <f t="shared" si="145"/>
        <v>-33</v>
      </c>
    </row>
    <row r="173" spans="2:10" x14ac:dyDescent="0.2">
      <c r="B173" s="2"/>
      <c r="C173" s="126" t="s">
        <v>15</v>
      </c>
      <c r="D173" s="126"/>
      <c r="E173" s="127"/>
      <c r="F173" s="128" t="s">
        <v>125</v>
      </c>
      <c r="G173" s="126"/>
      <c r="H173" s="126"/>
      <c r="I173" s="126"/>
      <c r="J173" s="126"/>
    </row>
    <row r="174" spans="2:10" x14ac:dyDescent="0.2">
      <c r="B174" s="10" t="s">
        <v>135</v>
      </c>
      <c r="C174" s="10">
        <v>2022</v>
      </c>
      <c r="D174" s="10">
        <v>2023</v>
      </c>
      <c r="E174" s="10">
        <v>2024</v>
      </c>
      <c r="F174" s="22">
        <v>2025</v>
      </c>
      <c r="G174" s="21">
        <f>F174+1</f>
        <v>2026</v>
      </c>
      <c r="H174" s="21">
        <f t="shared" ref="H174" si="146">G174+1</f>
        <v>2027</v>
      </c>
      <c r="I174" s="21">
        <f t="shared" ref="I174" si="147">H174+1</f>
        <v>2028</v>
      </c>
      <c r="J174" s="21">
        <f t="shared" ref="J174" si="148">I174+1</f>
        <v>2029</v>
      </c>
    </row>
    <row r="175" spans="2:10" x14ac:dyDescent="0.2">
      <c r="B175" t="s">
        <v>199</v>
      </c>
      <c r="C175" s="6">
        <f>C39</f>
        <v>1336</v>
      </c>
      <c r="D175" s="6">
        <f>D39</f>
        <v>1241</v>
      </c>
      <c r="E175" s="6">
        <f>E39</f>
        <v>1288</v>
      </c>
      <c r="F175" s="28">
        <f>AVERAGE(C175:E175)</f>
        <v>1288.3333333333333</v>
      </c>
      <c r="G175" s="28">
        <f>F175</f>
        <v>1288.3333333333333</v>
      </c>
      <c r="H175" s="28">
        <f t="shared" ref="H175:J175" si="149">G175</f>
        <v>1288.3333333333333</v>
      </c>
      <c r="I175" s="28">
        <f t="shared" si="149"/>
        <v>1288.3333333333333</v>
      </c>
      <c r="J175" s="28">
        <f t="shared" si="149"/>
        <v>1288.3333333333333</v>
      </c>
    </row>
    <row r="177" spans="2:10" x14ac:dyDescent="0.2">
      <c r="B177" t="s">
        <v>200</v>
      </c>
      <c r="C177" s="6">
        <f>C40</f>
        <v>309</v>
      </c>
      <c r="D177" s="6">
        <f>D40</f>
        <v>316</v>
      </c>
      <c r="E177" s="6">
        <f>E40</f>
        <v>464</v>
      </c>
      <c r="F177" s="28">
        <f>AVERAGE(C177:E177)</f>
        <v>363</v>
      </c>
      <c r="G177" s="28">
        <f>F177</f>
        <v>363</v>
      </c>
      <c r="H177" s="28">
        <f t="shared" ref="H177:J177" si="150">G177</f>
        <v>363</v>
      </c>
      <c r="I177" s="28">
        <f t="shared" si="150"/>
        <v>363</v>
      </c>
      <c r="J177" s="28">
        <f t="shared" si="150"/>
        <v>363</v>
      </c>
    </row>
    <row r="179" spans="2:10" x14ac:dyDescent="0.2">
      <c r="B179" t="s">
        <v>201</v>
      </c>
      <c r="C179" s="6">
        <f>C41</f>
        <v>1177</v>
      </c>
      <c r="D179" s="6">
        <f>D41</f>
        <v>-768</v>
      </c>
      <c r="E179" s="6">
        <f>E41</f>
        <v>1088</v>
      </c>
      <c r="F179" s="28">
        <f>AVERAGE(C179:E179)</f>
        <v>499</v>
      </c>
      <c r="G179" s="28">
        <f>F179</f>
        <v>499</v>
      </c>
      <c r="H179" s="28">
        <f t="shared" ref="H179:J179" si="151">G179</f>
        <v>499</v>
      </c>
      <c r="I179" s="28">
        <f t="shared" si="151"/>
        <v>499</v>
      </c>
      <c r="J179" s="28">
        <f t="shared" si="151"/>
        <v>499</v>
      </c>
    </row>
    <row r="181" spans="2:10" x14ac:dyDescent="0.2">
      <c r="B181" t="s">
        <v>55</v>
      </c>
      <c r="C181" s="6">
        <f>C42</f>
        <v>-834</v>
      </c>
      <c r="D181" s="6">
        <f>D42</f>
        <v>-2739</v>
      </c>
      <c r="E181" s="6">
        <f>E42</f>
        <v>-902</v>
      </c>
      <c r="F181" s="6">
        <f>F182*F27</f>
        <v>-1266.787179785274</v>
      </c>
      <c r="G181" s="6">
        <f>G182*G27</f>
        <v>-1305.9829669492519</v>
      </c>
      <c r="H181" s="6">
        <f>H182*H27</f>
        <v>-1345.2925012267031</v>
      </c>
      <c r="I181" s="6">
        <f>I182*I27</f>
        <v>-1388.3850653695958</v>
      </c>
      <c r="J181" s="6">
        <f>J182*J27</f>
        <v>-1437.5537939869303</v>
      </c>
    </row>
    <row r="182" spans="2:10" x14ac:dyDescent="0.2">
      <c r="B182" s="7" t="s">
        <v>202</v>
      </c>
      <c r="C182" s="25">
        <f>C181/C27</f>
        <v>0.19132828630419821</v>
      </c>
      <c r="D182" s="25">
        <f>D181/D27</f>
        <v>0.50996090113572889</v>
      </c>
      <c r="E182" s="25">
        <f>E181/E27</f>
        <v>0.32260371959942774</v>
      </c>
      <c r="F182" s="26">
        <f>AVERAGE(C182:E182)</f>
        <v>0.34129763567978494</v>
      </c>
      <c r="G182" s="26">
        <f>F182</f>
        <v>0.34129763567978494</v>
      </c>
      <c r="H182" s="26">
        <f t="shared" ref="H182:J182" si="152">G182</f>
        <v>0.34129763567978494</v>
      </c>
      <c r="I182" s="26">
        <f t="shared" si="152"/>
        <v>0.34129763567978494</v>
      </c>
      <c r="J182" s="26">
        <f t="shared" si="152"/>
        <v>0.34129763567978494</v>
      </c>
    </row>
    <row r="184" spans="2:10" x14ac:dyDescent="0.2">
      <c r="B184" t="s">
        <v>140</v>
      </c>
      <c r="C184" s="6">
        <f>-C51</f>
        <v>10956</v>
      </c>
      <c r="D184" s="6">
        <f>-D51</f>
        <v>12379</v>
      </c>
      <c r="E184" s="6">
        <f>-E51</f>
        <v>12297</v>
      </c>
      <c r="F184" s="6">
        <f>F185*F11</f>
        <v>12200.205968571861</v>
      </c>
      <c r="G184" s="6">
        <f>G185*G11</f>
        <v>12383.209058100438</v>
      </c>
      <c r="H184" s="6">
        <f>H185*H11</f>
        <v>12568.957193971943</v>
      </c>
      <c r="I184" s="6">
        <f>I185*I11</f>
        <v>12757.491551881523</v>
      </c>
      <c r="J184" s="6">
        <f>J185*J11</f>
        <v>12948.853925159743</v>
      </c>
    </row>
    <row r="185" spans="2:10" x14ac:dyDescent="0.2">
      <c r="B185" s="7" t="s">
        <v>129</v>
      </c>
      <c r="C185" s="25">
        <f>C184/C11</f>
        <v>9.0227049997117614E-2</v>
      </c>
      <c r="D185" s="25">
        <f>D184/D11</f>
        <v>0.10182443325765801</v>
      </c>
      <c r="E185" s="25">
        <f>E184/E11</f>
        <v>9.938495607406389E-2</v>
      </c>
      <c r="F185" s="26">
        <f>AVERAGE(C185:E185)</f>
        <v>9.7145479776279839E-2</v>
      </c>
      <c r="G185" s="26">
        <f>F185</f>
        <v>9.7145479776279839E-2</v>
      </c>
      <c r="H185" s="26">
        <f t="shared" ref="H185:J185" si="153">G185</f>
        <v>9.7145479776279839E-2</v>
      </c>
      <c r="I185" s="26">
        <f t="shared" si="153"/>
        <v>9.7145479776279839E-2</v>
      </c>
      <c r="J185" s="26">
        <f t="shared" si="153"/>
        <v>9.7145479776279839E-2</v>
      </c>
    </row>
    <row r="187" spans="2:10" x14ac:dyDescent="0.2">
      <c r="B187" t="s">
        <v>203</v>
      </c>
      <c r="C187" s="6">
        <f>-C52</f>
        <v>3141</v>
      </c>
      <c r="D187" s="6">
        <f>-D52</f>
        <v>3298</v>
      </c>
      <c r="E187" s="6">
        <f>-E52</f>
        <v>2949</v>
      </c>
      <c r="F187" s="6">
        <f>F188*F11</f>
        <v>3216.2534167284384</v>
      </c>
      <c r="G187" s="6">
        <f>G188*G11</f>
        <v>3264.4972179793645</v>
      </c>
      <c r="H187" s="6">
        <f>H188*H11</f>
        <v>3313.4646762490543</v>
      </c>
      <c r="I187" s="6">
        <f>I188*I11</f>
        <v>3363.16664639279</v>
      </c>
      <c r="J187" s="6">
        <f>J188*J11</f>
        <v>3413.6141460886815</v>
      </c>
    </row>
    <row r="188" spans="2:10" x14ac:dyDescent="0.2">
      <c r="B188" s="7" t="s">
        <v>129</v>
      </c>
      <c r="C188" s="25">
        <f>C187/C11</f>
        <v>2.5867393578034539E-2</v>
      </c>
      <c r="D188" s="25">
        <f>D187/D11</f>
        <v>2.7127957095383806E-2</v>
      </c>
      <c r="E188" s="25">
        <f>E187/E11</f>
        <v>2.3833962386144134E-2</v>
      </c>
      <c r="F188" s="26">
        <f>AVERAGE(C188:E188)</f>
        <v>2.560977101985416E-2</v>
      </c>
      <c r="G188" s="26">
        <f>F188</f>
        <v>2.560977101985416E-2</v>
      </c>
      <c r="H188" s="26">
        <f t="shared" ref="H188:J188" si="154">G188</f>
        <v>2.560977101985416E-2</v>
      </c>
      <c r="I188" s="26">
        <f t="shared" si="154"/>
        <v>2.560977101985416E-2</v>
      </c>
      <c r="J188" s="26">
        <f t="shared" si="154"/>
        <v>2.560977101985416E-2</v>
      </c>
    </row>
    <row r="190" spans="2:10" x14ac:dyDescent="0.2">
      <c r="B190" t="s">
        <v>205</v>
      </c>
      <c r="C190" s="6">
        <f>C53</f>
        <v>1985</v>
      </c>
      <c r="D190" s="6">
        <f>D53</f>
        <v>661</v>
      </c>
      <c r="E190" s="6">
        <f>E53</f>
        <v>771</v>
      </c>
      <c r="F190" s="28">
        <f>AVERAGE(C190:E190)</f>
        <v>1139</v>
      </c>
      <c r="G190" s="28">
        <f>F190</f>
        <v>1139</v>
      </c>
      <c r="H190" s="28">
        <f t="shared" ref="H190:J190" si="155">G190</f>
        <v>1139</v>
      </c>
      <c r="I190" s="28">
        <f t="shared" si="155"/>
        <v>1139</v>
      </c>
      <c r="J190" s="28">
        <f t="shared" si="155"/>
        <v>1139</v>
      </c>
    </row>
    <row r="192" spans="2:10" x14ac:dyDescent="0.2">
      <c r="B192" t="s">
        <v>206</v>
      </c>
      <c r="C192" s="6">
        <f>-C55</f>
        <v>2274</v>
      </c>
      <c r="D192" s="6">
        <f>-D55</f>
        <v>1313</v>
      </c>
      <c r="E192" s="6">
        <f>-E55</f>
        <v>1082</v>
      </c>
      <c r="F192" s="28">
        <f>AVERAGE(C192:E192)</f>
        <v>1556.3333333333333</v>
      </c>
      <c r="G192" s="28">
        <f>F192</f>
        <v>1556.3333333333333</v>
      </c>
      <c r="H192" s="28">
        <f t="shared" ref="H192:J192" si="156">G192</f>
        <v>1556.3333333333333</v>
      </c>
      <c r="I192" s="28">
        <f t="shared" si="156"/>
        <v>1556.3333333333333</v>
      </c>
      <c r="J192" s="28">
        <f t="shared" si="156"/>
        <v>1556.3333333333333</v>
      </c>
    </row>
    <row r="194" spans="2:10" x14ac:dyDescent="0.2">
      <c r="B194" t="s">
        <v>141</v>
      </c>
      <c r="C194" s="6">
        <f>C56</f>
        <v>246</v>
      </c>
      <c r="D194" s="6">
        <f>D56</f>
        <v>558</v>
      </c>
      <c r="E194" s="6">
        <f>E56</f>
        <v>-113</v>
      </c>
      <c r="F194" s="28">
        <f>AVERAGE(C194:E194)</f>
        <v>230.33333333333334</v>
      </c>
      <c r="G194" s="28">
        <f>F194</f>
        <v>230.33333333333334</v>
      </c>
      <c r="H194" s="28">
        <f t="shared" ref="H194:J194" si="157">G194</f>
        <v>230.33333333333334</v>
      </c>
      <c r="I194" s="28">
        <f t="shared" si="157"/>
        <v>230.33333333333334</v>
      </c>
      <c r="J194" s="28">
        <f t="shared" si="157"/>
        <v>230.33333333333334</v>
      </c>
    </row>
    <row r="196" spans="2:10" x14ac:dyDescent="0.2">
      <c r="B196" t="s">
        <v>207</v>
      </c>
      <c r="C196" s="6">
        <f>-C60</f>
        <v>13328</v>
      </c>
      <c r="D196" s="6">
        <f>-D60</f>
        <v>11921</v>
      </c>
      <c r="E196" s="6">
        <f>-E60</f>
        <v>9103</v>
      </c>
      <c r="F196" s="6">
        <f>F197*F11</f>
        <v>6279.3482499999991</v>
      </c>
      <c r="G196" s="6">
        <f>G197*G11</f>
        <v>6373.538473749999</v>
      </c>
      <c r="H196" s="6">
        <f>H197*H11</f>
        <v>6469.1415508562477</v>
      </c>
      <c r="I196" s="6">
        <f>I197*I11</f>
        <v>6566.1786741190917</v>
      </c>
      <c r="J196" s="6">
        <f>J197*J11</f>
        <v>6664.6713542308762</v>
      </c>
    </row>
    <row r="197" spans="2:10" x14ac:dyDescent="0.2">
      <c r="B197" s="7" t="s">
        <v>129</v>
      </c>
      <c r="C197" s="25">
        <f>C196/C11</f>
        <v>0.1097614204419116</v>
      </c>
      <c r="D197" s="25">
        <f>D196/D11</f>
        <v>9.805711841542461E-2</v>
      </c>
      <c r="E197" s="25">
        <f>E196/E11</f>
        <v>7.3570891692461879E-2</v>
      </c>
      <c r="F197" s="26">
        <v>0.05</v>
      </c>
      <c r="G197" s="26">
        <v>0.05</v>
      </c>
      <c r="H197" s="26">
        <v>0.05</v>
      </c>
      <c r="I197" s="26">
        <v>0.05</v>
      </c>
      <c r="J197" s="26">
        <v>0.05</v>
      </c>
    </row>
    <row r="199" spans="2:10" x14ac:dyDescent="0.2">
      <c r="B199" t="s">
        <v>190</v>
      </c>
      <c r="C199" s="6">
        <f>-C61</f>
        <v>4741</v>
      </c>
      <c r="D199" s="6">
        <f>-D61</f>
        <v>4766</v>
      </c>
      <c r="E199" s="6">
        <f>-E61</f>
        <v>4814</v>
      </c>
      <c r="F199" s="6">
        <f>F200*F30</f>
        <v>4084.6945826966839</v>
      </c>
      <c r="G199" s="6">
        <f>G200*G30</f>
        <v>4214.3035834315588</v>
      </c>
      <c r="H199" s="6">
        <f>H200*H30</f>
        <v>4344.2887125919724</v>
      </c>
      <c r="I199" s="6">
        <f>I200*I30</f>
        <v>4486.7832147255276</v>
      </c>
      <c r="J199" s="6">
        <f>J200*J30</f>
        <v>4649.3698150873552</v>
      </c>
    </row>
    <row r="200" spans="2:10" x14ac:dyDescent="0.2">
      <c r="B200" s="7" t="s">
        <v>208</v>
      </c>
      <c r="C200" s="25">
        <f>C199/C30</f>
        <v>1.0582589285714286</v>
      </c>
      <c r="D200" s="25">
        <f>D199/D30</f>
        <v>0.3214839797639123</v>
      </c>
      <c r="E200" s="25">
        <f>E199/E30</f>
        <v>0.30932339523228169</v>
      </c>
      <c r="F200" s="26">
        <v>0.3</v>
      </c>
      <c r="G200" s="26">
        <v>0.3</v>
      </c>
      <c r="H200" s="26">
        <v>0.3</v>
      </c>
      <c r="I200" s="26">
        <v>0.3</v>
      </c>
      <c r="J200" s="26">
        <v>0.3</v>
      </c>
    </row>
    <row r="202" spans="2:10" x14ac:dyDescent="0.2">
      <c r="B202" t="s">
        <v>141</v>
      </c>
      <c r="C202" s="6">
        <f>C62</f>
        <v>896</v>
      </c>
      <c r="D202" s="6">
        <f>D62</f>
        <v>5</v>
      </c>
      <c r="E202" s="6">
        <f>E62</f>
        <v>339</v>
      </c>
      <c r="F202" s="28">
        <f>AVERAGE(C202:E202)</f>
        <v>413.33333333333331</v>
      </c>
      <c r="G202" s="28">
        <f>F202</f>
        <v>413.33333333333331</v>
      </c>
      <c r="H202" s="28">
        <f t="shared" ref="H202:J202" si="158">G202</f>
        <v>413.33333333333331</v>
      </c>
      <c r="I202" s="28">
        <f t="shared" si="158"/>
        <v>413.33333333333331</v>
      </c>
      <c r="J202" s="28">
        <f t="shared" si="158"/>
        <v>413.33333333333331</v>
      </c>
    </row>
    <row r="204" spans="2:10" x14ac:dyDescent="0.2">
      <c r="B204" s="11" t="s">
        <v>95</v>
      </c>
      <c r="C204" s="6">
        <f>C65</f>
        <v>-86</v>
      </c>
      <c r="D204" s="6">
        <f>D65</f>
        <v>9</v>
      </c>
      <c r="E204" s="6">
        <f>E65</f>
        <v>-26</v>
      </c>
      <c r="F204" s="28">
        <f>AVERAGE(C204:E204)</f>
        <v>-34.333333333333336</v>
      </c>
      <c r="G204" s="28">
        <f>F204</f>
        <v>-34.333333333333336</v>
      </c>
      <c r="H204" s="28">
        <f t="shared" ref="H204:J204" si="159">G204</f>
        <v>-34.333333333333336</v>
      </c>
      <c r="I204" s="28">
        <f t="shared" si="159"/>
        <v>-34.333333333333336</v>
      </c>
      <c r="J204" s="28">
        <f t="shared" si="159"/>
        <v>-34.333333333333336</v>
      </c>
    </row>
    <row r="206" spans="2:10" x14ac:dyDescent="0.2">
      <c r="B206" s="2"/>
      <c r="C206" s="126" t="s">
        <v>15</v>
      </c>
      <c r="D206" s="126"/>
      <c r="E206" s="127"/>
      <c r="F206" s="128" t="s">
        <v>125</v>
      </c>
      <c r="G206" s="126"/>
      <c r="H206" s="126"/>
      <c r="I206" s="126"/>
      <c r="J206" s="126"/>
    </row>
    <row r="207" spans="2:10" x14ac:dyDescent="0.2">
      <c r="B207" s="10" t="s">
        <v>209</v>
      </c>
      <c r="C207" s="10">
        <v>2022</v>
      </c>
      <c r="D207" s="10">
        <v>2023</v>
      </c>
      <c r="E207" s="10">
        <v>2024</v>
      </c>
      <c r="F207" s="22">
        <v>2025</v>
      </c>
      <c r="G207" s="21">
        <f>F207+1</f>
        <v>2026</v>
      </c>
      <c r="H207" s="21">
        <f t="shared" ref="H207" si="160">G207+1</f>
        <v>2027</v>
      </c>
      <c r="I207" s="21">
        <f t="shared" ref="I207" si="161">H207+1</f>
        <v>2028</v>
      </c>
      <c r="J207" s="21">
        <f t="shared" ref="J207" si="162">I207+1</f>
        <v>2029</v>
      </c>
    </row>
    <row r="208" spans="2:10" x14ac:dyDescent="0.2">
      <c r="B208" s="4" t="s">
        <v>35</v>
      </c>
    </row>
    <row r="209" spans="2:10" x14ac:dyDescent="0.2">
      <c r="B209" t="s">
        <v>38</v>
      </c>
      <c r="C209" s="6">
        <f>C76</f>
        <v>12672</v>
      </c>
      <c r="D209" s="6">
        <f>D76</f>
        <v>13813</v>
      </c>
      <c r="E209" s="6">
        <f>E76</f>
        <v>13661</v>
      </c>
      <c r="F209" s="6">
        <f>F210*F11</f>
        <v>13747.074916435589</v>
      </c>
      <c r="G209" s="6">
        <f>G210*G11</f>
        <v>13953.281040182121</v>
      </c>
      <c r="H209" s="6">
        <f>H210*H11</f>
        <v>14162.580255784851</v>
      </c>
      <c r="I209" s="6">
        <f>I210*I11</f>
        <v>14375.018959621622</v>
      </c>
      <c r="J209" s="6">
        <f>J210*J11</f>
        <v>14590.644244015944</v>
      </c>
    </row>
    <row r="210" spans="2:10" x14ac:dyDescent="0.2">
      <c r="B210" s="7" t="s">
        <v>129</v>
      </c>
      <c r="C210" s="25">
        <f>C76/C11</f>
        <v>0.1043589975870276</v>
      </c>
      <c r="D210" s="25">
        <f>D76/D11</f>
        <v>0.11361991247984733</v>
      </c>
      <c r="E210" s="25">
        <f>E76/E11</f>
        <v>0.11040887085693965</v>
      </c>
      <c r="F210" s="26">
        <f>AVERAGE(C210:E210)</f>
        <v>0.10946259364127153</v>
      </c>
      <c r="G210" s="26">
        <f>F210</f>
        <v>0.10946259364127153</v>
      </c>
      <c r="H210" s="26">
        <f t="shared" ref="H210:J210" si="163">G210</f>
        <v>0.10946259364127153</v>
      </c>
      <c r="I210" s="26">
        <f t="shared" si="163"/>
        <v>0.10946259364127153</v>
      </c>
      <c r="J210" s="26">
        <f t="shared" si="163"/>
        <v>0.10946259364127153</v>
      </c>
    </row>
    <row r="212" spans="2:10" x14ac:dyDescent="0.2">
      <c r="B212" t="s">
        <v>39</v>
      </c>
      <c r="C212" s="6">
        <f>C77</f>
        <v>4406</v>
      </c>
      <c r="D212" s="6">
        <f>D77</f>
        <v>3959</v>
      </c>
      <c r="E212" s="6">
        <f>E77</f>
        <v>5817</v>
      </c>
      <c r="F212" s="6">
        <f>F213*F11</f>
        <v>6155.4289299999991</v>
      </c>
      <c r="G212" s="6">
        <f>G213*G11</f>
        <v>6502.7019028999985</v>
      </c>
      <c r="H212" s="6">
        <f>H213*H11</f>
        <v>6859.0080934777479</v>
      </c>
      <c r="I212" s="6">
        <f>I213*I11</f>
        <v>7224.540361844678</v>
      </c>
      <c r="J212" s="6">
        <f>J213*J11</f>
        <v>7599.4953214415818</v>
      </c>
    </row>
    <row r="213" spans="2:10" x14ac:dyDescent="0.2">
      <c r="B213" s="7" t="s">
        <v>129</v>
      </c>
      <c r="C213" s="25">
        <f>C212/C11</f>
        <v>3.6285175455211774E-2</v>
      </c>
      <c r="D213" s="25">
        <f>D212/D11</f>
        <v>3.2565064324021981E-2</v>
      </c>
      <c r="E213" s="25">
        <f>E212/E11</f>
        <v>4.7013278806443008E-2</v>
      </c>
      <c r="F213" s="26">
        <f>E213+0.2%</f>
        <v>4.901327880644301E-2</v>
      </c>
      <c r="G213" s="26">
        <f t="shared" ref="G213:J213" si="164">F213+0.2%</f>
        <v>5.1013278806443012E-2</v>
      </c>
      <c r="H213" s="26">
        <f t="shared" si="164"/>
        <v>5.3013278806443014E-2</v>
      </c>
      <c r="I213" s="26">
        <f t="shared" si="164"/>
        <v>5.5013278806443015E-2</v>
      </c>
      <c r="J213" s="26">
        <f t="shared" si="164"/>
        <v>5.7013278806443017E-2</v>
      </c>
    </row>
    <row r="215" spans="2:10" x14ac:dyDescent="0.2">
      <c r="B215" t="s">
        <v>210</v>
      </c>
      <c r="C215" s="6">
        <f>C81</f>
        <v>12560</v>
      </c>
      <c r="D215" s="6">
        <f t="shared" ref="D215:E215" si="165">D81</f>
        <v>12920</v>
      </c>
      <c r="E215" s="6">
        <f t="shared" si="165"/>
        <v>12541</v>
      </c>
      <c r="F215" s="6">
        <f>F216*-F12</f>
        <v>12795.324412671587</v>
      </c>
      <c r="G215" s="6">
        <f t="shared" ref="G215:J215" si="166">G216*-G12</f>
        <v>12987.254278861657</v>
      </c>
      <c r="H215" s="6">
        <f t="shared" si="166"/>
        <v>13182.063093044579</v>
      </c>
      <c r="I215" s="6">
        <f t="shared" si="166"/>
        <v>13379.794039440252</v>
      </c>
      <c r="J215" s="6">
        <f t="shared" si="166"/>
        <v>13580.49095003185</v>
      </c>
    </row>
    <row r="216" spans="2:10" x14ac:dyDescent="0.2">
      <c r="B216" s="7" t="s">
        <v>147</v>
      </c>
      <c r="C216" s="25">
        <f>C215/-C12</f>
        <v>0.32868395572187475</v>
      </c>
      <c r="D216" s="25">
        <f t="shared" ref="D216:E216" si="167">D215/-D12</f>
        <v>0.35144986671018985</v>
      </c>
      <c r="E216" s="25">
        <f t="shared" si="167"/>
        <v>0.33870793496461948</v>
      </c>
      <c r="F216" s="26">
        <f>AVERAGE(C216:E216)</f>
        <v>0.33961391913222805</v>
      </c>
      <c r="G216" s="26">
        <f>F216</f>
        <v>0.33961391913222805</v>
      </c>
      <c r="H216" s="26">
        <f t="shared" ref="H216:J216" si="168">G216</f>
        <v>0.33961391913222805</v>
      </c>
      <c r="I216" s="26">
        <f t="shared" si="168"/>
        <v>0.33961391913222805</v>
      </c>
      <c r="J216" s="26">
        <f t="shared" si="168"/>
        <v>0.33961391913222805</v>
      </c>
    </row>
    <row r="218" spans="2:10" x14ac:dyDescent="0.2">
      <c r="B218" t="s">
        <v>46</v>
      </c>
      <c r="C218" s="6">
        <f>C87</f>
        <v>12497</v>
      </c>
      <c r="D218" s="6">
        <f t="shared" ref="D218:E218" si="169">D87</f>
        <v>12333</v>
      </c>
      <c r="E218" s="6">
        <f t="shared" si="169"/>
        <v>12501</v>
      </c>
      <c r="F218" s="6">
        <f>F219*F11</f>
        <v>12625.721517499998</v>
      </c>
      <c r="G218" s="6">
        <f t="shared" ref="G218:J218" si="170">G219*G11</f>
        <v>12751.371955524995</v>
      </c>
      <c r="H218" s="6">
        <f t="shared" si="170"/>
        <v>12877.951119349307</v>
      </c>
      <c r="I218" s="6">
        <f t="shared" si="170"/>
        <v>13005.458599398355</v>
      </c>
      <c r="J218" s="6">
        <f t="shared" si="170"/>
        <v>13133.893764847018</v>
      </c>
    </row>
    <row r="219" spans="2:10" x14ac:dyDescent="0.2">
      <c r="B219" s="7" t="s">
        <v>129</v>
      </c>
      <c r="C219" s="25">
        <f>C218/C11</f>
        <v>0.10291780246567897</v>
      </c>
      <c r="D219" s="25">
        <f t="shared" ref="D219:E219" si="171">D218/D11</f>
        <v>0.10144605665778304</v>
      </c>
      <c r="E219" s="25">
        <f t="shared" si="171"/>
        <v>0.10103369406211862</v>
      </c>
      <c r="F219" s="26">
        <f>E219-0.05%</f>
        <v>0.10053369406211862</v>
      </c>
      <c r="G219" s="26">
        <f t="shared" ref="G219:J219" si="172">F219-0.05%</f>
        <v>0.10003369406211862</v>
      </c>
      <c r="H219" s="26">
        <f t="shared" si="172"/>
        <v>9.9533694062118622E-2</v>
      </c>
      <c r="I219" s="26">
        <f t="shared" si="172"/>
        <v>9.9033694062118621E-2</v>
      </c>
      <c r="J219" s="26">
        <f t="shared" si="172"/>
        <v>9.8533694062118621E-2</v>
      </c>
    </row>
    <row r="222" spans="2:10" x14ac:dyDescent="0.2">
      <c r="B222" s="4" t="s">
        <v>179</v>
      </c>
    </row>
    <row r="223" spans="2:10" x14ac:dyDescent="0.2">
      <c r="B223" t="s">
        <v>50</v>
      </c>
      <c r="C223" s="6">
        <f>C94</f>
        <v>12544</v>
      </c>
      <c r="D223" s="6">
        <f t="shared" ref="D223:E223" si="173">D94</f>
        <v>12437</v>
      </c>
      <c r="E223" s="6">
        <f t="shared" si="173"/>
        <v>11321</v>
      </c>
      <c r="F223" s="6">
        <f>F224*-F21</f>
        <v>11082.800019804319</v>
      </c>
      <c r="G223" s="6">
        <f t="shared" ref="G223:J223" si="174">G224*-G21</f>
        <v>10946.430666504795</v>
      </c>
      <c r="H223" s="6">
        <f t="shared" si="174"/>
        <v>10802.182774291658</v>
      </c>
      <c r="I223" s="6">
        <f t="shared" si="174"/>
        <v>10649.831262677339</v>
      </c>
      <c r="J223" s="6">
        <f t="shared" si="174"/>
        <v>10489.145780319528</v>
      </c>
    </row>
    <row r="224" spans="2:10" x14ac:dyDescent="0.2">
      <c r="B224" s="7" t="s">
        <v>148</v>
      </c>
      <c r="C224" s="25">
        <f>C223/-C21</f>
        <v>0.18134243129544764</v>
      </c>
      <c r="D224" s="25">
        <f t="shared" ref="D224:E224" si="175">D223/-D21</f>
        <v>0.20223750752069206</v>
      </c>
      <c r="E224" s="25">
        <f t="shared" si="175"/>
        <v>0.17854495560427083</v>
      </c>
      <c r="F224" s="26">
        <f>E224-0.5%</f>
        <v>0.17354495560427083</v>
      </c>
      <c r="G224" s="26">
        <f t="shared" ref="G224:J224" si="176">F224-0.5%</f>
        <v>0.16854495560427082</v>
      </c>
      <c r="H224" s="26">
        <f t="shared" si="176"/>
        <v>0.16354495560427082</v>
      </c>
      <c r="I224" s="26">
        <f t="shared" si="176"/>
        <v>0.15854495560427082</v>
      </c>
      <c r="J224" s="26">
        <f t="shared" si="176"/>
        <v>0.15354495560427081</v>
      </c>
    </row>
    <row r="226" spans="2:10" x14ac:dyDescent="0.2">
      <c r="B226" t="s">
        <v>51</v>
      </c>
      <c r="C226" s="6">
        <f>C95</f>
        <v>2380</v>
      </c>
      <c r="D226" s="6">
        <f t="shared" ref="D226:E226" si="177">D95</f>
        <v>3242</v>
      </c>
      <c r="E226" s="6">
        <f t="shared" si="177"/>
        <v>3507</v>
      </c>
      <c r="F226" s="6">
        <f>F227*F11</f>
        <v>3810.7789299999995</v>
      </c>
      <c r="G226" s="6">
        <f t="shared" ref="G226:J226" si="178">G227*G11</f>
        <v>4122.8821528999988</v>
      </c>
      <c r="H226" s="6">
        <f t="shared" si="178"/>
        <v>4443.4910472277488</v>
      </c>
      <c r="I226" s="6">
        <f t="shared" si="178"/>
        <v>4772.7905599009291</v>
      </c>
      <c r="J226" s="6">
        <f t="shared" si="178"/>
        <v>5110.9692724686774</v>
      </c>
    </row>
    <row r="227" spans="2:10" x14ac:dyDescent="0.2">
      <c r="B227" s="7" t="s">
        <v>129</v>
      </c>
      <c r="C227" s="25">
        <f>C226/C11</f>
        <v>1.9600253650341359E-2</v>
      </c>
      <c r="D227" s="25">
        <f t="shared" ref="D227:E227" si="179">D226/D11</f>
        <v>2.6667324712927317E-2</v>
      </c>
      <c r="E227" s="25">
        <f t="shared" si="179"/>
        <v>2.8343745706411488E-2</v>
      </c>
      <c r="F227" s="26">
        <f>E227+0.2%</f>
        <v>3.034374570641149E-2</v>
      </c>
      <c r="G227" s="26">
        <f t="shared" ref="G227:J227" si="180">F227+0.2%</f>
        <v>3.2343745706411492E-2</v>
      </c>
      <c r="H227" s="26">
        <f t="shared" si="180"/>
        <v>3.4343745706411494E-2</v>
      </c>
      <c r="I227" s="26">
        <f t="shared" si="180"/>
        <v>3.6343745706411495E-2</v>
      </c>
      <c r="J227" s="26">
        <f t="shared" si="180"/>
        <v>3.8343745706411497E-2</v>
      </c>
    </row>
    <row r="229" spans="2:10" x14ac:dyDescent="0.2">
      <c r="B229" t="s">
        <v>100</v>
      </c>
      <c r="C229" s="6">
        <f>C96</f>
        <v>11220</v>
      </c>
      <c r="D229" s="6">
        <f t="shared" ref="D229:E229" si="181">D96</f>
        <v>13284</v>
      </c>
      <c r="E229" s="6">
        <f t="shared" si="181"/>
        <v>10679</v>
      </c>
      <c r="F229" s="6">
        <f>F230*-F21</f>
        <v>11636.212699155467</v>
      </c>
      <c r="G229" s="6">
        <f t="shared" ref="G229:J229" si="182">G230*-G21</f>
        <v>11833.982442347642</v>
      </c>
      <c r="H229" s="6">
        <f t="shared" si="182"/>
        <v>12035.067129978275</v>
      </c>
      <c r="I229" s="6">
        <f t="shared" si="182"/>
        <v>12239.521712188296</v>
      </c>
      <c r="J229" s="6">
        <f t="shared" si="182"/>
        <v>12447.402041760373</v>
      </c>
    </row>
    <row r="230" spans="2:10" x14ac:dyDescent="0.2">
      <c r="B230" s="7" t="s">
        <v>148</v>
      </c>
      <c r="C230" s="25">
        <f>C229/-C21</f>
        <v>0.16220201523715902</v>
      </c>
      <c r="D230" s="25">
        <f t="shared" ref="D230:E230" si="183">D229/-D21</f>
        <v>0.21601053709937071</v>
      </c>
      <c r="E230" s="25">
        <f t="shared" si="183"/>
        <v>0.16841989054836218</v>
      </c>
      <c r="F230" s="26">
        <f>AVERAGE(C230:E230)</f>
        <v>0.18221081429496397</v>
      </c>
      <c r="G230" s="26">
        <f>F230</f>
        <v>0.18221081429496397</v>
      </c>
      <c r="H230" s="26">
        <f t="shared" ref="H230:J230" si="184">G230</f>
        <v>0.18221081429496397</v>
      </c>
      <c r="I230" s="26">
        <f t="shared" si="184"/>
        <v>0.18221081429496397</v>
      </c>
      <c r="J230" s="26">
        <f t="shared" si="184"/>
        <v>0.18221081429496397</v>
      </c>
    </row>
    <row r="232" spans="2:10" x14ac:dyDescent="0.2">
      <c r="B232" s="11" t="s">
        <v>103</v>
      </c>
      <c r="C232" s="6">
        <f>C103</f>
        <v>20395</v>
      </c>
      <c r="D232" s="6">
        <f t="shared" ref="D232:E232" si="185">D103</f>
        <v>20122</v>
      </c>
      <c r="E232" s="6">
        <f t="shared" si="185"/>
        <v>20942</v>
      </c>
      <c r="F232" s="6">
        <f>F233*-F21</f>
        <v>21730.646091958617</v>
      </c>
      <c r="G232" s="6">
        <f t="shared" ref="G232:J232" si="186">G233*-G21</f>
        <v>22749.447933444386</v>
      </c>
      <c r="H232" s="6">
        <f t="shared" si="186"/>
        <v>23796.512091424385</v>
      </c>
      <c r="I232" s="6">
        <f t="shared" si="186"/>
        <v>24872.496019828399</v>
      </c>
      <c r="J232" s="6">
        <f t="shared" si="186"/>
        <v>25978.07111940566</v>
      </c>
    </row>
    <row r="233" spans="2:10" x14ac:dyDescent="0.2">
      <c r="B233" s="7" t="s">
        <v>148</v>
      </c>
      <c r="C233" s="25">
        <f>C232/-C21</f>
        <v>0.29484047243866829</v>
      </c>
      <c r="D233" s="25">
        <f t="shared" ref="D233:E233" si="187">D232/-D21</f>
        <v>0.32720295298957675</v>
      </c>
      <c r="E233" s="25">
        <f t="shared" si="187"/>
        <v>0.33027899127856547</v>
      </c>
      <c r="F233" s="26">
        <f>E233+1%</f>
        <v>0.34027899127856548</v>
      </c>
      <c r="G233" s="26">
        <f t="shared" ref="G233:J233" si="188">F233+1%</f>
        <v>0.35027899127856549</v>
      </c>
      <c r="H233" s="26">
        <f t="shared" si="188"/>
        <v>0.3602789912785655</v>
      </c>
      <c r="I233" s="26">
        <f t="shared" si="188"/>
        <v>0.37027899127856551</v>
      </c>
      <c r="J233" s="26">
        <f t="shared" si="188"/>
        <v>0.38027899127856551</v>
      </c>
    </row>
    <row r="235" spans="2:10" x14ac:dyDescent="0.2">
      <c r="B235" s="2"/>
      <c r="C235" s="126" t="s">
        <v>15</v>
      </c>
      <c r="D235" s="126"/>
      <c r="E235" s="127"/>
      <c r="F235" s="128" t="s">
        <v>125</v>
      </c>
      <c r="G235" s="126"/>
      <c r="H235" s="126"/>
      <c r="I235" s="126"/>
      <c r="J235" s="126"/>
    </row>
    <row r="236" spans="2:10" x14ac:dyDescent="0.2">
      <c r="B236" s="10" t="s">
        <v>211</v>
      </c>
      <c r="C236" s="10">
        <v>2022</v>
      </c>
      <c r="D236" s="10">
        <v>2023</v>
      </c>
      <c r="E236" s="10">
        <v>2024</v>
      </c>
      <c r="F236" s="22">
        <v>2025</v>
      </c>
      <c r="G236" s="21">
        <f>F236+1</f>
        <v>2026</v>
      </c>
      <c r="H236" s="21">
        <f t="shared" ref="H236" si="189">G236+1</f>
        <v>2027</v>
      </c>
      <c r="I236" s="21">
        <f t="shared" ref="I236" si="190">H236+1</f>
        <v>2028</v>
      </c>
      <c r="J236" s="21">
        <f t="shared" ref="J236" si="191">I236+1</f>
        <v>2029</v>
      </c>
    </row>
    <row r="237" spans="2:10" x14ac:dyDescent="0.2">
      <c r="B237" t="s">
        <v>213</v>
      </c>
      <c r="C237" s="6">
        <f>-C24</f>
        <v>3896</v>
      </c>
      <c r="D237" s="6">
        <f t="shared" ref="D237:E237" si="192">-D24</f>
        <v>4087</v>
      </c>
      <c r="E237" s="6">
        <f t="shared" si="192"/>
        <v>4134</v>
      </c>
      <c r="F237" s="6">
        <f>E101*$F$4</f>
        <v>6341.9520000000002</v>
      </c>
      <c r="G237" s="6">
        <f t="shared" ref="G237:J237" si="193">F101*$F$4</f>
        <v>6028.3519999999999</v>
      </c>
      <c r="H237" s="6">
        <f t="shared" si="193"/>
        <v>5714.7520000000004</v>
      </c>
      <c r="I237" s="6">
        <f t="shared" si="193"/>
        <v>5349.9520000000002</v>
      </c>
      <c r="J237" s="6">
        <f t="shared" si="193"/>
        <v>4901.9520000000002</v>
      </c>
    </row>
    <row r="239" spans="2:10" x14ac:dyDescent="0.2">
      <c r="B239" t="s">
        <v>214</v>
      </c>
      <c r="F239" s="6">
        <v>4900</v>
      </c>
      <c r="G239" s="6">
        <v>4900</v>
      </c>
      <c r="H239" s="6">
        <v>5700</v>
      </c>
      <c r="I239" s="6">
        <v>7000</v>
      </c>
      <c r="J239" s="6">
        <v>4800</v>
      </c>
    </row>
  </sheetData>
  <mergeCells count="19">
    <mergeCell ref="C144:E144"/>
    <mergeCell ref="F144:J144"/>
    <mergeCell ref="F32:J32"/>
    <mergeCell ref="C71:E71"/>
    <mergeCell ref="F71:J71"/>
    <mergeCell ref="C115:E115"/>
    <mergeCell ref="F115:J115"/>
    <mergeCell ref="S9:T9"/>
    <mergeCell ref="S32:T32"/>
    <mergeCell ref="S71:T71"/>
    <mergeCell ref="F9:J9"/>
    <mergeCell ref="C9:E9"/>
    <mergeCell ref="C32:E32"/>
    <mergeCell ref="C173:E173"/>
    <mergeCell ref="F173:J173"/>
    <mergeCell ref="C206:E206"/>
    <mergeCell ref="F206:J206"/>
    <mergeCell ref="C235:E235"/>
    <mergeCell ref="F235:J23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16648-E5B6-984B-A3F1-01E69F11EE87}">
  <dimension ref="B2:J166"/>
  <sheetViews>
    <sheetView showGridLines="0" topLeftCell="A32" workbookViewId="0">
      <selection activeCell="M34" sqref="M34"/>
    </sheetView>
  </sheetViews>
  <sheetFormatPr baseColWidth="10" defaultRowHeight="16" x14ac:dyDescent="0.2"/>
  <cols>
    <col min="1" max="1" width="9" customWidth="1"/>
    <col min="2" max="2" width="41.6640625" customWidth="1"/>
    <col min="3" max="3" width="15" customWidth="1"/>
    <col min="4" max="4" width="14.83203125" customWidth="1"/>
    <col min="5" max="5" width="13.5" customWidth="1"/>
    <col min="6" max="6" width="29.33203125" customWidth="1"/>
    <col min="7" max="7" width="15" customWidth="1"/>
    <col min="8" max="8" width="14.5" customWidth="1"/>
    <col min="9" max="9" width="14.6640625" customWidth="1"/>
    <col min="10" max="10" width="16" customWidth="1"/>
  </cols>
  <sheetData>
    <row r="2" spans="2:10" ht="19" x14ac:dyDescent="0.25">
      <c r="B2" s="1" t="s">
        <v>215</v>
      </c>
    </row>
    <row r="3" spans="2:10" ht="19" x14ac:dyDescent="0.25">
      <c r="B3" s="1"/>
    </row>
    <row r="4" spans="2:10" x14ac:dyDescent="0.2">
      <c r="B4" s="10" t="s">
        <v>234</v>
      </c>
      <c r="C4" s="2"/>
      <c r="D4" s="2"/>
      <c r="E4" s="2"/>
      <c r="F4" s="2"/>
      <c r="G4" s="2"/>
      <c r="H4" s="2"/>
      <c r="I4" s="2"/>
      <c r="J4" s="2"/>
    </row>
    <row r="6" spans="2:10" x14ac:dyDescent="0.2">
      <c r="B6" t="s">
        <v>240</v>
      </c>
      <c r="C6" s="28">
        <f>Special_Cash_to_ParentCo</f>
        <v>2250</v>
      </c>
      <c r="F6" s="106" t="s">
        <v>269</v>
      </c>
      <c r="G6" s="107">
        <f>ParentCo_Market_Cap-SubCo_Market_Cap</f>
        <v>90667.385123220884</v>
      </c>
    </row>
    <row r="7" spans="2:10" x14ac:dyDescent="0.2">
      <c r="F7" t="s">
        <v>270</v>
      </c>
      <c r="G7" s="6">
        <f>-F49</f>
        <v>-10155.485638316577</v>
      </c>
    </row>
    <row r="8" spans="2:10" x14ac:dyDescent="0.2">
      <c r="F8" t="s">
        <v>271</v>
      </c>
      <c r="G8" s="6">
        <f>F75</f>
        <v>94193</v>
      </c>
    </row>
    <row r="9" spans="2:10" x14ac:dyDescent="0.2">
      <c r="B9" t="s">
        <v>241</v>
      </c>
      <c r="C9" s="6">
        <f>SUM(D49:D61)</f>
        <v>2250</v>
      </c>
      <c r="F9" t="s">
        <v>124</v>
      </c>
      <c r="G9" s="6">
        <f>F84</f>
        <v>706.33333333333326</v>
      </c>
    </row>
    <row r="10" spans="2:10" x14ac:dyDescent="0.2">
      <c r="B10" t="s">
        <v>242</v>
      </c>
      <c r="C10" s="6">
        <f>-SUM(E68:E78)-E84</f>
        <v>0</v>
      </c>
      <c r="F10" t="s">
        <v>273</v>
      </c>
      <c r="G10" s="6">
        <f>-F56</f>
        <v>-9944.3333333333339</v>
      </c>
    </row>
    <row r="11" spans="2:10" x14ac:dyDescent="0.2">
      <c r="B11" s="4" t="s">
        <v>243</v>
      </c>
      <c r="C11" s="5">
        <f>SUM(C9:C10)</f>
        <v>2250</v>
      </c>
      <c r="F11" s="106" t="s">
        <v>272</v>
      </c>
      <c r="G11" s="107">
        <f>SUM(G6:G10)</f>
        <v>165466.89948490431</v>
      </c>
    </row>
    <row r="14" spans="2:10" x14ac:dyDescent="0.2">
      <c r="B14" s="2"/>
      <c r="C14" s="10"/>
      <c r="D14" s="132" t="s">
        <v>162</v>
      </c>
      <c r="E14" s="133"/>
      <c r="F14" s="133"/>
      <c r="G14" s="132" t="s">
        <v>163</v>
      </c>
      <c r="H14" s="133"/>
      <c r="I14" s="133"/>
      <c r="J14" s="133"/>
    </row>
    <row r="15" spans="2:10" x14ac:dyDescent="0.2">
      <c r="B15" s="10" t="s">
        <v>221</v>
      </c>
      <c r="C15" s="46">
        <f>DATE(2025, 12,31)</f>
        <v>46022</v>
      </c>
      <c r="D15" s="67" t="s">
        <v>223</v>
      </c>
      <c r="E15" s="68" t="s">
        <v>222</v>
      </c>
      <c r="F15" s="47">
        <f>C15</f>
        <v>46022</v>
      </c>
      <c r="G15" s="48">
        <f>EOMONTH(F15,12)</f>
        <v>46387</v>
      </c>
      <c r="H15" s="46">
        <f t="shared" ref="H15:J15" si="0">EOMONTH(G15,12)</f>
        <v>46752</v>
      </c>
      <c r="I15" s="46">
        <f t="shared" si="0"/>
        <v>47118</v>
      </c>
      <c r="J15" s="46">
        <f t="shared" si="0"/>
        <v>47483</v>
      </c>
    </row>
    <row r="16" spans="2:10" x14ac:dyDescent="0.2">
      <c r="B16" s="7" t="s">
        <v>4</v>
      </c>
      <c r="C16" s="6">
        <f>Comcast!F11</f>
        <v>125586.96499999998</v>
      </c>
      <c r="D16" s="79"/>
      <c r="F16" s="81"/>
      <c r="G16" s="6">
        <f>Comcast!G11</f>
        <v>127470.76947499996</v>
      </c>
      <c r="H16" s="6">
        <f>Comcast!H11</f>
        <v>129382.83101712495</v>
      </c>
      <c r="I16" s="6">
        <f>Comcast!I11</f>
        <v>131323.57348238182</v>
      </c>
      <c r="J16" s="6">
        <f>Comcast!J11</f>
        <v>133293.42708461752</v>
      </c>
    </row>
    <row r="17" spans="2:10" x14ac:dyDescent="0.2">
      <c r="B17" s="76" t="s">
        <v>228</v>
      </c>
      <c r="C17" s="77"/>
      <c r="D17" s="80"/>
      <c r="E17" s="78"/>
      <c r="F17" s="82"/>
      <c r="G17" s="77">
        <f>-Versant!G6</f>
        <v>-6903.8112000000001</v>
      </c>
      <c r="H17" s="77">
        <f>-Versant!H6</f>
        <v>-7249.0017600000001</v>
      </c>
      <c r="I17" s="77">
        <f>-Versant!I6</f>
        <v>-6814.0616543999995</v>
      </c>
      <c r="J17" s="77">
        <f>-Versant!J6</f>
        <v>-6405.2179551359995</v>
      </c>
    </row>
    <row r="18" spans="2:10" x14ac:dyDescent="0.2">
      <c r="B18" s="7" t="s">
        <v>5</v>
      </c>
      <c r="C18" s="6">
        <f>Comcast!F12</f>
        <v>-37676.089500000002</v>
      </c>
      <c r="D18" s="79"/>
      <c r="F18" s="81"/>
      <c r="G18" s="6">
        <f>Comcast!G12</f>
        <v>-38241.230842499994</v>
      </c>
      <c r="H18" s="6">
        <f>Comcast!H12</f>
        <v>-38814.849305137483</v>
      </c>
      <c r="I18" s="6">
        <f>Comcast!I12</f>
        <v>-39397.072044714558</v>
      </c>
      <c r="J18" s="6">
        <f>Comcast!J12</f>
        <v>-39988.028125385259</v>
      </c>
    </row>
    <row r="19" spans="2:10" x14ac:dyDescent="0.2">
      <c r="B19" s="76" t="s">
        <v>229</v>
      </c>
      <c r="C19" s="77"/>
      <c r="D19" s="80"/>
      <c r="E19" s="78"/>
      <c r="F19" s="82"/>
      <c r="G19" s="77">
        <f>-Versant!G7</f>
        <v>3133.4426239999998</v>
      </c>
      <c r="H19" s="77">
        <f>-Versant!H7</f>
        <v>3362.6047727999999</v>
      </c>
      <c r="I19" s="77">
        <f>-Versant!I7</f>
        <v>3228.9891029759997</v>
      </c>
      <c r="J19" s="77">
        <f>-Versant!J7</f>
        <v>3099.3019363487997</v>
      </c>
    </row>
    <row r="20" spans="2:10" x14ac:dyDescent="0.2">
      <c r="B20" s="4" t="s">
        <v>227</v>
      </c>
      <c r="C20" s="5">
        <f>SUM(C16:C19)</f>
        <v>87910.87549999998</v>
      </c>
      <c r="D20" s="79"/>
      <c r="F20" s="81"/>
      <c r="G20" s="5">
        <f>SUM(G16:G19)</f>
        <v>85459.170056499977</v>
      </c>
      <c r="H20" s="5">
        <f t="shared" ref="H20:J20" si="1">SUM(H16:H19)</f>
        <v>86681.584724787463</v>
      </c>
      <c r="I20" s="5">
        <f t="shared" si="1"/>
        <v>88341.428886243273</v>
      </c>
      <c r="J20" s="5">
        <f t="shared" si="1"/>
        <v>89999.482940445057</v>
      </c>
    </row>
    <row r="21" spans="2:10" x14ac:dyDescent="0.2">
      <c r="D21" s="79"/>
      <c r="F21" s="81"/>
    </row>
    <row r="22" spans="2:10" x14ac:dyDescent="0.2">
      <c r="D22" s="79"/>
      <c r="F22" s="81"/>
    </row>
    <row r="23" spans="2:10" x14ac:dyDescent="0.2">
      <c r="B23" s="4" t="s">
        <v>2</v>
      </c>
      <c r="D23" s="79"/>
      <c r="F23" s="81"/>
    </row>
    <row r="24" spans="2:10" x14ac:dyDescent="0.2">
      <c r="B24" s="7" t="s">
        <v>66</v>
      </c>
      <c r="C24" s="6">
        <f>Comcast!F16</f>
        <v>-8163.152724999999</v>
      </c>
      <c r="D24" s="79"/>
      <c r="F24" s="81"/>
      <c r="G24" s="6">
        <f>Comcast!G16</f>
        <v>-8285.6000158749976</v>
      </c>
      <c r="H24" s="6">
        <f>Comcast!H16</f>
        <v>-8409.8840161131211</v>
      </c>
      <c r="I24" s="6">
        <f>Comcast!I16</f>
        <v>-8536.0322763548193</v>
      </c>
      <c r="J24" s="6">
        <f>Comcast!J16</f>
        <v>-8664.0727605001393</v>
      </c>
    </row>
    <row r="25" spans="2:10" x14ac:dyDescent="0.2">
      <c r="B25" s="7" t="s">
        <v>67</v>
      </c>
      <c r="C25" s="6">
        <f>Comcast!F17</f>
        <v>-40399.704023743092</v>
      </c>
      <c r="D25" s="79"/>
      <c r="F25" s="81"/>
      <c r="G25" s="6">
        <f>Comcast!G17</f>
        <v>-41005.699584099231</v>
      </c>
      <c r="H25" s="6">
        <f>Comcast!H17</f>
        <v>-41620.785077860717</v>
      </c>
      <c r="I25" s="6">
        <f>Comcast!I17</f>
        <v>-42245.096854028627</v>
      </c>
      <c r="J25" s="6">
        <f>Comcast!J17</f>
        <v>-42878.773306839052</v>
      </c>
    </row>
    <row r="26" spans="2:10" x14ac:dyDescent="0.2">
      <c r="B26" s="7" t="s">
        <v>68</v>
      </c>
      <c r="C26" s="6">
        <f>Comcast!F18</f>
        <v>-9009.7390997729926</v>
      </c>
      <c r="D26" s="79"/>
      <c r="F26" s="81"/>
      <c r="G26" s="6">
        <f>Comcast!G18</f>
        <v>-9144.8851862695865</v>
      </c>
      <c r="H26" s="6">
        <f>Comcast!H18</f>
        <v>-9282.058464063628</v>
      </c>
      <c r="I26" s="6">
        <f>Comcast!I18</f>
        <v>-9421.2893410245833</v>
      </c>
      <c r="J26" s="6">
        <f>Comcast!J18</f>
        <v>-9562.6086811399491</v>
      </c>
    </row>
    <row r="27" spans="2:10" x14ac:dyDescent="0.2">
      <c r="B27" s="7" t="s">
        <v>69</v>
      </c>
      <c r="C27" s="6">
        <f>Comcast!F19</f>
        <v>-6288.6669649999994</v>
      </c>
      <c r="D27" s="79"/>
      <c r="F27" s="81"/>
      <c r="G27" s="6">
        <f>Comcast!G19</f>
        <v>-6510.4677389499984</v>
      </c>
      <c r="H27" s="6">
        <f>Comcast!H19</f>
        <v>-6737.5075860513725</v>
      </c>
      <c r="I27" s="6">
        <f>Comcast!I19</f>
        <v>-6969.8937733245248</v>
      </c>
      <c r="J27" s="6">
        <f>Comcast!J19</f>
        <v>-7207.7356070090091</v>
      </c>
    </row>
    <row r="28" spans="2:10" x14ac:dyDescent="0.2">
      <c r="B28" s="7" t="s">
        <v>70</v>
      </c>
      <c r="C28" s="6">
        <f>Comcast!F20</f>
        <v>0</v>
      </c>
      <c r="D28" s="79"/>
      <c r="F28" s="81"/>
      <c r="G28" s="6">
        <f>Comcast!G20</f>
        <v>0</v>
      </c>
      <c r="H28" s="6">
        <f>Comcast!H20</f>
        <v>0</v>
      </c>
      <c r="I28" s="6">
        <f>Comcast!I20</f>
        <v>0</v>
      </c>
      <c r="J28" s="6">
        <f>Comcast!J20</f>
        <v>0</v>
      </c>
    </row>
    <row r="29" spans="2:10" x14ac:dyDescent="0.2">
      <c r="B29" s="84" t="s">
        <v>230</v>
      </c>
      <c r="C29" s="85"/>
      <c r="D29" s="86"/>
      <c r="E29" s="87"/>
      <c r="F29" s="88"/>
      <c r="G29" s="85">
        <f>-Versant!G11</f>
        <v>1182.2820672</v>
      </c>
      <c r="H29" s="85">
        <f>-Versant!H11</f>
        <v>1263.1431758400001</v>
      </c>
      <c r="I29" s="85">
        <f>-Versant!I11</f>
        <v>1207.7967702527999</v>
      </c>
      <c r="J29" s="85">
        <f>-Versant!J11</f>
        <v>1154.54461790304</v>
      </c>
    </row>
    <row r="30" spans="2:10" x14ac:dyDescent="0.2">
      <c r="B30" s="74" t="s">
        <v>231</v>
      </c>
      <c r="C30" s="75"/>
      <c r="D30" s="89"/>
      <c r="E30" s="90"/>
      <c r="F30" s="91"/>
      <c r="G30" s="75">
        <f>-Versant!G12</f>
        <v>1008.2692672000002</v>
      </c>
      <c r="H30" s="75">
        <f>-Versant!H12</f>
        <v>1080.4297358400001</v>
      </c>
      <c r="I30" s="75">
        <f>-Versant!I12</f>
        <v>1036.0461366528</v>
      </c>
      <c r="J30" s="75">
        <f>-Versant!J12</f>
        <v>993.09902231904005</v>
      </c>
    </row>
    <row r="31" spans="2:10" x14ac:dyDescent="0.2">
      <c r="B31" s="16" t="s">
        <v>225</v>
      </c>
      <c r="C31" s="17">
        <f>SUM(C24:C30)</f>
        <v>-63861.262813516078</v>
      </c>
      <c r="D31" s="79"/>
      <c r="F31" s="81"/>
      <c r="G31" s="17">
        <f>SUM(G24:G30)</f>
        <v>-62756.101190793815</v>
      </c>
      <c r="H31" s="17">
        <f t="shared" ref="H31:J31" si="2">SUM(H24:H30)</f>
        <v>-63706.662232408846</v>
      </c>
      <c r="I31" s="17">
        <f t="shared" si="2"/>
        <v>-64928.469337826944</v>
      </c>
      <c r="J31" s="17">
        <f t="shared" si="2"/>
        <v>-66165.546715266057</v>
      </c>
    </row>
    <row r="32" spans="2:10" x14ac:dyDescent="0.2">
      <c r="D32" s="79"/>
      <c r="F32" s="81"/>
    </row>
    <row r="33" spans="2:10" x14ac:dyDescent="0.2">
      <c r="B33" s="4" t="s">
        <v>3</v>
      </c>
      <c r="C33" s="5">
        <f>C20+C31</f>
        <v>24049.612686483903</v>
      </c>
      <c r="D33" s="79"/>
      <c r="F33" s="81"/>
      <c r="G33" s="5">
        <f>G20+G31</f>
        <v>22703.068865706162</v>
      </c>
      <c r="H33" s="5">
        <f t="shared" ref="H33:J33" si="3">H20+H31</f>
        <v>22974.922492378617</v>
      </c>
      <c r="I33" s="5">
        <f t="shared" si="3"/>
        <v>23412.959548416329</v>
      </c>
      <c r="J33" s="5">
        <f t="shared" si="3"/>
        <v>23833.936225179001</v>
      </c>
    </row>
    <row r="34" spans="2:10" x14ac:dyDescent="0.2">
      <c r="B34" s="7" t="s">
        <v>72</v>
      </c>
      <c r="C34" s="6">
        <f>Comcast!F24</f>
        <v>-6341.9520000000002</v>
      </c>
      <c r="D34" s="79"/>
      <c r="F34" s="81"/>
      <c r="G34" s="6">
        <f>Comcast!G24</f>
        <v>-6028.3519999999999</v>
      </c>
      <c r="H34" s="6">
        <f>Comcast!H24</f>
        <v>-5714.7520000000004</v>
      </c>
      <c r="I34" s="6">
        <f>Comcast!I24</f>
        <v>-5349.9520000000002</v>
      </c>
      <c r="J34" s="6">
        <f>Comcast!J24</f>
        <v>-4901.9520000000002</v>
      </c>
    </row>
    <row r="35" spans="2:10" x14ac:dyDescent="0.2">
      <c r="B35" s="7" t="s">
        <v>12</v>
      </c>
      <c r="C35" s="6">
        <f>Comcast!F25</f>
        <v>-33</v>
      </c>
      <c r="D35" s="79"/>
      <c r="F35" s="81"/>
      <c r="G35" s="6">
        <f>Comcast!G25</f>
        <v>-33</v>
      </c>
      <c r="H35" s="6">
        <f>Comcast!H25</f>
        <v>-33</v>
      </c>
      <c r="I35" s="6">
        <f>Comcast!I25</f>
        <v>-33</v>
      </c>
      <c r="J35" s="6">
        <f>Comcast!J25</f>
        <v>-33</v>
      </c>
    </row>
    <row r="36" spans="2:10" x14ac:dyDescent="0.2">
      <c r="B36" s="76" t="s">
        <v>232</v>
      </c>
      <c r="C36" s="77">
        <v>0</v>
      </c>
      <c r="D36" s="80"/>
      <c r="E36" s="78"/>
      <c r="F36" s="82"/>
      <c r="G36" s="77">
        <f>-Versant!G16</f>
        <v>0</v>
      </c>
      <c r="H36" s="77">
        <f>-Versant!H16</f>
        <v>0</v>
      </c>
      <c r="I36" s="77">
        <f>-Versant!I16</f>
        <v>0</v>
      </c>
      <c r="J36" s="77">
        <f>-Versant!J16</f>
        <v>0</v>
      </c>
    </row>
    <row r="37" spans="2:10" x14ac:dyDescent="0.2">
      <c r="B37" s="4" t="s">
        <v>233</v>
      </c>
      <c r="C37" s="5">
        <f>SUM(C33:C36)</f>
        <v>17674.660686483901</v>
      </c>
      <c r="D37" s="79"/>
      <c r="F37" s="81"/>
      <c r="G37" s="5">
        <f>SUM(G33:G36)</f>
        <v>16641.716865706163</v>
      </c>
      <c r="H37" s="5">
        <f t="shared" ref="H37:J37" si="4">SUM(H33:H36)</f>
        <v>17227.170492378616</v>
      </c>
      <c r="I37" s="5">
        <f t="shared" si="4"/>
        <v>18030.007548416328</v>
      </c>
      <c r="J37" s="5">
        <f t="shared" si="4"/>
        <v>18898.984225179</v>
      </c>
    </row>
    <row r="38" spans="2:10" x14ac:dyDescent="0.2">
      <c r="B38" s="7" t="s">
        <v>113</v>
      </c>
      <c r="C38" s="6">
        <f>Comcast!F27</f>
        <v>-3711.6787441616193</v>
      </c>
      <c r="D38" s="79"/>
      <c r="F38" s="81"/>
      <c r="G38" s="6">
        <f>-G37*Comcast!G167</f>
        <v>-3494.7605417982941</v>
      </c>
      <c r="H38" s="6">
        <f>-H37*Comcast!H167</f>
        <v>-3617.7058033995095</v>
      </c>
      <c r="I38" s="6">
        <f>-I37*Comcast!I167</f>
        <v>-3786.3015851674286</v>
      </c>
      <c r="J38" s="6">
        <f>-J37*Comcast!J167</f>
        <v>-3968.7866872875898</v>
      </c>
    </row>
    <row r="39" spans="2:10" x14ac:dyDescent="0.2">
      <c r="B39" s="8" t="s">
        <v>235</v>
      </c>
      <c r="C39" s="9">
        <f>SUM(C37:C38)</f>
        <v>13962.981942322282</v>
      </c>
      <c r="D39" s="83"/>
      <c r="E39" s="73"/>
      <c r="F39" s="92"/>
      <c r="G39" s="9">
        <f>SUM(G37:G38)</f>
        <v>13146.956323907869</v>
      </c>
      <c r="H39" s="9">
        <f t="shared" ref="H39:J39" si="5">SUM(H37:H38)</f>
        <v>13609.464688979107</v>
      </c>
      <c r="I39" s="9">
        <f t="shared" si="5"/>
        <v>14243.7059632489</v>
      </c>
      <c r="J39" s="9">
        <f t="shared" si="5"/>
        <v>14930.19753789141</v>
      </c>
    </row>
    <row r="40" spans="2:10" x14ac:dyDescent="0.2">
      <c r="B40" s="7" t="s">
        <v>236</v>
      </c>
      <c r="C40" s="6">
        <f>Comcast!F29</f>
        <v>-347.33333333333331</v>
      </c>
      <c r="D40" s="79"/>
      <c r="F40" s="81"/>
      <c r="G40" s="6">
        <f>Comcast!G29</f>
        <v>-347.33333333333331</v>
      </c>
      <c r="H40" s="6">
        <f>Comcast!H29</f>
        <v>-347.33333333333331</v>
      </c>
      <c r="I40" s="6">
        <f>Comcast!I29</f>
        <v>-347.33333333333331</v>
      </c>
      <c r="J40" s="6">
        <f>Comcast!J29</f>
        <v>-347.33333333333331</v>
      </c>
    </row>
    <row r="41" spans="2:10" x14ac:dyDescent="0.2">
      <c r="B41" s="76" t="s">
        <v>237</v>
      </c>
      <c r="C41" s="78"/>
      <c r="D41" s="80"/>
      <c r="E41" s="78"/>
      <c r="F41" s="82"/>
      <c r="G41" s="77">
        <f>-Versant!G20</f>
        <v>0</v>
      </c>
      <c r="H41" s="77">
        <f>-Versant!H20</f>
        <v>0</v>
      </c>
      <c r="I41" s="77">
        <f>-Versant!I20</f>
        <v>0</v>
      </c>
      <c r="J41" s="77">
        <f>-Versant!J20</f>
        <v>0</v>
      </c>
    </row>
    <row r="42" spans="2:10" x14ac:dyDescent="0.2">
      <c r="B42" s="4" t="s">
        <v>238</v>
      </c>
      <c r="C42" s="5">
        <f>SUM(C39:C41)</f>
        <v>13615.648608988948</v>
      </c>
      <c r="D42" s="79"/>
      <c r="F42" s="81"/>
      <c r="G42" s="5">
        <f>SUM(G39:G41)</f>
        <v>12799.622990574535</v>
      </c>
      <c r="H42" s="5">
        <f t="shared" ref="H42:J42" si="6">SUM(H39:H41)</f>
        <v>13262.131355645774</v>
      </c>
      <c r="I42" s="5">
        <f t="shared" si="6"/>
        <v>13896.372629915566</v>
      </c>
      <c r="J42" s="5">
        <f t="shared" si="6"/>
        <v>14582.864204558076</v>
      </c>
    </row>
    <row r="43" spans="2:10" x14ac:dyDescent="0.2">
      <c r="D43" s="79"/>
      <c r="F43" s="81"/>
    </row>
    <row r="44" spans="2:10" x14ac:dyDescent="0.2">
      <c r="D44" s="79"/>
      <c r="F44" s="81"/>
    </row>
    <row r="45" spans="2:10" x14ac:dyDescent="0.2">
      <c r="B45" s="2"/>
      <c r="C45" s="10"/>
      <c r="D45" s="132" t="s">
        <v>162</v>
      </c>
      <c r="E45" s="133"/>
      <c r="F45" s="133"/>
      <c r="G45" s="132" t="s">
        <v>163</v>
      </c>
      <c r="H45" s="133"/>
      <c r="I45" s="133"/>
      <c r="J45" s="133"/>
    </row>
    <row r="46" spans="2:10" x14ac:dyDescent="0.2">
      <c r="B46" s="10" t="s">
        <v>239</v>
      </c>
      <c r="C46" s="46">
        <f>DATE(2025, 12,31)</f>
        <v>46022</v>
      </c>
      <c r="D46" s="67" t="s">
        <v>223</v>
      </c>
      <c r="E46" s="68" t="s">
        <v>222</v>
      </c>
      <c r="F46" s="47">
        <f>C46</f>
        <v>46022</v>
      </c>
      <c r="G46" s="48">
        <f>EOMONTH(F46,12)</f>
        <v>46387</v>
      </c>
      <c r="H46" s="46">
        <f t="shared" ref="H46" si="7">EOMONTH(G46,12)</f>
        <v>46752</v>
      </c>
      <c r="I46" s="46">
        <f t="shared" ref="I46" si="8">EOMONTH(H46,12)</f>
        <v>47118</v>
      </c>
      <c r="J46" s="46">
        <f t="shared" ref="J46" si="9">EOMONTH(I46,12)</f>
        <v>47483</v>
      </c>
    </row>
    <row r="47" spans="2:10" x14ac:dyDescent="0.2">
      <c r="B47" s="14" t="s">
        <v>35</v>
      </c>
      <c r="C47" s="13"/>
      <c r="D47" s="13"/>
      <c r="E47" s="13"/>
      <c r="F47" s="13"/>
      <c r="G47" s="13"/>
      <c r="H47" s="13"/>
      <c r="I47" s="13"/>
      <c r="J47" s="18"/>
    </row>
    <row r="48" spans="2:10" x14ac:dyDescent="0.2">
      <c r="B48" s="4" t="s">
        <v>36</v>
      </c>
      <c r="D48" s="83"/>
      <c r="E48" s="73"/>
      <c r="F48" s="92"/>
    </row>
    <row r="49" spans="2:10" x14ac:dyDescent="0.2">
      <c r="B49" s="7" t="s">
        <v>37</v>
      </c>
      <c r="C49" s="6">
        <f>Comcast!F75</f>
        <v>7986.319906957583</v>
      </c>
      <c r="D49" s="97">
        <f>C6</f>
        <v>2250</v>
      </c>
      <c r="E49" s="6">
        <f>-Versant!F55</f>
        <v>-80.83426864100511</v>
      </c>
      <c r="F49" s="96">
        <f>SUM(C49:E49)</f>
        <v>10155.485638316577</v>
      </c>
      <c r="G49" s="6">
        <f>G132</f>
        <v>8060.5867313741401</v>
      </c>
      <c r="H49" s="6">
        <f t="shared" ref="H49:J49" si="10">H132</f>
        <v>4766.9838838392388</v>
      </c>
      <c r="I49" s="6">
        <f t="shared" si="10"/>
        <v>1796.8271275436605</v>
      </c>
      <c r="J49" s="6">
        <f t="shared" si="10"/>
        <v>1587.6153644088583</v>
      </c>
    </row>
    <row r="50" spans="2:10" x14ac:dyDescent="0.2">
      <c r="B50" s="7" t="s">
        <v>38</v>
      </c>
      <c r="C50" s="6">
        <f>Comcast!F76</f>
        <v>13747.074916435589</v>
      </c>
      <c r="D50" s="97">
        <v>0</v>
      </c>
      <c r="E50" s="6">
        <f>-Versant!F56</f>
        <v>-1143.7468799999999</v>
      </c>
      <c r="F50" s="96">
        <f t="shared" ref="F50:F51" si="11">SUM(C50:E50)</f>
        <v>12603.328036435589</v>
      </c>
      <c r="G50" s="6">
        <f>SUM(G16:G17)*Comcast!F210</f>
        <v>13197.571960220461</v>
      </c>
      <c r="H50" s="6">
        <f>H16*Comcast!G210</f>
        <v>14162.580255784851</v>
      </c>
      <c r="I50" s="6">
        <f>I16*Comcast!H210</f>
        <v>14375.018959621622</v>
      </c>
      <c r="J50" s="6">
        <f>J16*Comcast!I210</f>
        <v>14590.644244015944</v>
      </c>
    </row>
    <row r="51" spans="2:10" x14ac:dyDescent="0.2">
      <c r="B51" s="7" t="s">
        <v>39</v>
      </c>
      <c r="C51" s="6">
        <f>Comcast!F77</f>
        <v>6155.4289299999991</v>
      </c>
      <c r="D51" s="97">
        <v>0</v>
      </c>
      <c r="E51" s="6">
        <f>-Versant!F57</f>
        <v>-63.479140000000001</v>
      </c>
      <c r="F51" s="96">
        <f t="shared" si="11"/>
        <v>6091.9497899999988</v>
      </c>
      <c r="G51" s="6">
        <f>SUM(G16:G17)*Comcast!F213</f>
        <v>5909.3819407773544</v>
      </c>
      <c r="H51" s="6">
        <f>H16*Comcast!G213</f>
        <v>6600.2424314434975</v>
      </c>
      <c r="I51" s="6">
        <f>I16*Comcast!H213</f>
        <v>6961.893214879914</v>
      </c>
      <c r="J51" s="6">
        <f>J16*Comcast!I213</f>
        <v>7332.9084672723466</v>
      </c>
    </row>
    <row r="52" spans="2:10" x14ac:dyDescent="0.2">
      <c r="B52" s="4" t="s">
        <v>40</v>
      </c>
      <c r="C52" s="5">
        <f>SUM(C49:C51)</f>
        <v>27888.823753393172</v>
      </c>
      <c r="D52" s="79"/>
      <c r="F52" s="95">
        <f>SUM(F49:F51)</f>
        <v>28850.763464752163</v>
      </c>
      <c r="G52" s="5">
        <f t="shared" ref="G52:J52" si="12">SUM(G49:G51)</f>
        <v>27167.540632371958</v>
      </c>
      <c r="H52" s="5">
        <f t="shared" si="12"/>
        <v>25529.806571067587</v>
      </c>
      <c r="I52" s="5">
        <f t="shared" si="12"/>
        <v>23133.739302045196</v>
      </c>
      <c r="J52" s="5">
        <f t="shared" si="12"/>
        <v>23511.168075697151</v>
      </c>
    </row>
    <row r="53" spans="2:10" x14ac:dyDescent="0.2">
      <c r="D53" s="79"/>
      <c r="F53" s="81"/>
    </row>
    <row r="54" spans="2:10" x14ac:dyDescent="0.2">
      <c r="B54" s="4" t="s">
        <v>41</v>
      </c>
      <c r="D54" s="79"/>
      <c r="F54" s="81"/>
    </row>
    <row r="55" spans="2:10" x14ac:dyDescent="0.2">
      <c r="B55" s="7" t="s">
        <v>96</v>
      </c>
      <c r="C55" s="6">
        <f>Comcast!F81</f>
        <v>12795.324412671587</v>
      </c>
      <c r="D55" s="79"/>
      <c r="E55" s="6">
        <f>-Versant!F61</f>
        <v>-574.10687999999993</v>
      </c>
      <c r="F55" s="96">
        <f t="shared" ref="F55:F61" si="13">SUM(C55:E55)</f>
        <v>12221.217532671588</v>
      </c>
      <c r="G55" s="6">
        <f>-SUM(G18:G19)*Comcast!F216</f>
        <v>11923.093548949044</v>
      </c>
      <c r="H55" s="6">
        <f>-SUM(H18:H19)*Comcast!G216</f>
        <v>12040.075707661237</v>
      </c>
      <c r="I55" s="6">
        <f>-SUM(I18:I19)*Comcast!H216</f>
        <v>12283.184395343316</v>
      </c>
      <c r="J55" s="6">
        <f>-SUM(J18:J19)*Comcast!I216</f>
        <v>12527.924872854332</v>
      </c>
    </row>
    <row r="56" spans="2:10" x14ac:dyDescent="0.2">
      <c r="B56" s="7" t="s">
        <v>97</v>
      </c>
      <c r="C56" s="6">
        <f>Comcast!F82</f>
        <v>10203.333333333334</v>
      </c>
      <c r="D56" s="79"/>
      <c r="E56" s="6">
        <f>-Versant!F62</f>
        <v>-259</v>
      </c>
      <c r="F56" s="96">
        <f t="shared" si="13"/>
        <v>9944.3333333333339</v>
      </c>
      <c r="G56" s="6">
        <f>F56-G116-G117</f>
        <v>11495.666666666668</v>
      </c>
      <c r="H56" s="6">
        <f t="shared" ref="H56:J56" si="14">G56-H116-H117</f>
        <v>13047.000000000002</v>
      </c>
      <c r="I56" s="6">
        <f t="shared" si="14"/>
        <v>14598.333333333336</v>
      </c>
      <c r="J56" s="6">
        <f t="shared" si="14"/>
        <v>16149.66666666667</v>
      </c>
    </row>
    <row r="57" spans="2:10" x14ac:dyDescent="0.2">
      <c r="B57" s="7" t="s">
        <v>44</v>
      </c>
      <c r="C57" s="6">
        <f>Comcast!F83</f>
        <v>65738.46686879886</v>
      </c>
      <c r="D57" s="79"/>
      <c r="E57" s="6">
        <v>0</v>
      </c>
      <c r="F57" s="96">
        <f t="shared" si="13"/>
        <v>65738.46686879886</v>
      </c>
      <c r="G57" s="6">
        <f>F57-G111-G112-G93</f>
        <v>68925.012156629717</v>
      </c>
      <c r="H57" s="6">
        <f t="shared" ref="H57:J57" si="15">G57-H111-H112-H93</f>
        <v>72157.543373338034</v>
      </c>
      <c r="I57" s="6">
        <f t="shared" si="15"/>
        <v>75442.640121786972</v>
      </c>
      <c r="J57" s="6">
        <f t="shared" si="15"/>
        <v>78780.846231143252</v>
      </c>
    </row>
    <row r="58" spans="2:10" x14ac:dyDescent="0.2">
      <c r="B58" s="7" t="s">
        <v>45</v>
      </c>
      <c r="C58" s="6">
        <f>Comcast!F84</f>
        <v>57070</v>
      </c>
      <c r="D58" s="79"/>
      <c r="E58" s="6">
        <f>-Versant!F64</f>
        <v>-6782.4251599999998</v>
      </c>
      <c r="F58" s="96">
        <f t="shared" si="13"/>
        <v>50287.574840000001</v>
      </c>
      <c r="G58" s="6">
        <f>F58-G114</f>
        <v>49148.574840000001</v>
      </c>
      <c r="H58" s="6">
        <f t="shared" ref="H58:J58" si="16">G58-H114</f>
        <v>48009.574840000001</v>
      </c>
      <c r="I58" s="6">
        <f t="shared" si="16"/>
        <v>46870.574840000001</v>
      </c>
      <c r="J58" s="6">
        <f t="shared" si="16"/>
        <v>45731.574840000001</v>
      </c>
    </row>
    <row r="59" spans="2:10" x14ac:dyDescent="0.2">
      <c r="B59" s="7" t="s">
        <v>98</v>
      </c>
      <c r="C59" s="6">
        <f>Comcast!F85</f>
        <v>59365</v>
      </c>
      <c r="D59" s="79"/>
      <c r="E59" s="6">
        <v>0</v>
      </c>
      <c r="F59" s="96">
        <f t="shared" si="13"/>
        <v>59365</v>
      </c>
      <c r="G59" s="6">
        <f>F59</f>
        <v>59365</v>
      </c>
      <c r="H59" s="6">
        <f t="shared" ref="H59:J59" si="17">G59</f>
        <v>59365</v>
      </c>
      <c r="I59" s="6">
        <f t="shared" si="17"/>
        <v>59365</v>
      </c>
      <c r="J59" s="6">
        <f t="shared" si="17"/>
        <v>59365</v>
      </c>
    </row>
    <row r="60" spans="2:10" x14ac:dyDescent="0.2">
      <c r="B60" s="7" t="s">
        <v>99</v>
      </c>
      <c r="C60" s="6">
        <f>Comcast!F86</f>
        <v>22526.586451728439</v>
      </c>
      <c r="D60" s="79"/>
      <c r="E60" s="6">
        <f>-Versant!F63</f>
        <v>-2061.7871</v>
      </c>
      <c r="F60" s="96">
        <f t="shared" si="13"/>
        <v>20464.799351728438</v>
      </c>
      <c r="G60" s="6">
        <f>F60-G113-G94-G95</f>
        <v>18227.098097957805</v>
      </c>
      <c r="H60" s="6">
        <f t="shared" ref="H60:J60" si="18">G60-H113-H94-H95</f>
        <v>15883.484923995489</v>
      </c>
      <c r="I60" s="6">
        <f t="shared" si="18"/>
        <v>13312.803933716554</v>
      </c>
      <c r="J60" s="6">
        <f t="shared" si="18"/>
        <v>10511.781495115267</v>
      </c>
    </row>
    <row r="61" spans="2:10" x14ac:dyDescent="0.2">
      <c r="B61" s="7" t="s">
        <v>46</v>
      </c>
      <c r="C61" s="6">
        <f>Comcast!F87</f>
        <v>12625.721517499998</v>
      </c>
      <c r="D61" s="79"/>
      <c r="E61" s="6">
        <f>-Versant!F65</f>
        <v>-101.63656</v>
      </c>
      <c r="F61" s="96">
        <f t="shared" si="13"/>
        <v>12524.084957499997</v>
      </c>
      <c r="G61" s="6">
        <f>SUM(G16:G17)*Comcast!F219</f>
        <v>12121.041697219069</v>
      </c>
      <c r="H61" s="6">
        <f>SUM(H16:H17)*Comcast!G219</f>
        <v>12217.49811054227</v>
      </c>
      <c r="I61" s="6">
        <f>SUM(I16:I17)*Comcast!H219</f>
        <v>12392.891658110084</v>
      </c>
      <c r="J61" s="6">
        <f>SUM(J16:J17)*Comcast!I219</f>
        <v>12566.208083019199</v>
      </c>
    </row>
    <row r="62" spans="2:10" x14ac:dyDescent="0.2">
      <c r="B62" s="4" t="s">
        <v>47</v>
      </c>
      <c r="C62" s="5">
        <f>SUM(C55:C61)</f>
        <v>240324.43258403224</v>
      </c>
      <c r="D62" s="79"/>
      <c r="F62" s="95">
        <f>SUM(F55:F61)</f>
        <v>230545.47688403222</v>
      </c>
      <c r="G62" s="5">
        <f t="shared" ref="G62:J62" si="19">SUM(G55:G61)</f>
        <v>231205.48700742231</v>
      </c>
      <c r="H62" s="5">
        <f t="shared" si="19"/>
        <v>232720.17695553703</v>
      </c>
      <c r="I62" s="5">
        <f t="shared" si="19"/>
        <v>234265.42828229026</v>
      </c>
      <c r="J62" s="5">
        <f t="shared" si="19"/>
        <v>235633.00218879868</v>
      </c>
    </row>
    <row r="63" spans="2:10" x14ac:dyDescent="0.2">
      <c r="D63" s="79"/>
      <c r="F63" s="81"/>
    </row>
    <row r="64" spans="2:10" x14ac:dyDescent="0.2">
      <c r="B64" s="4" t="s">
        <v>63</v>
      </c>
      <c r="C64" s="5">
        <f>C62+C52</f>
        <v>268213.25633742544</v>
      </c>
      <c r="D64" s="79"/>
      <c r="F64" s="95">
        <f>F62+F52</f>
        <v>259396.24034878437</v>
      </c>
      <c r="G64" s="5">
        <f>G62+G52</f>
        <v>258373.02763979428</v>
      </c>
      <c r="H64" s="5">
        <f t="shared" ref="H64:J64" si="20">H62+H52</f>
        <v>258249.9835266046</v>
      </c>
      <c r="I64" s="5">
        <f t="shared" si="20"/>
        <v>257399.16758433546</v>
      </c>
      <c r="J64" s="5">
        <f t="shared" si="20"/>
        <v>259144.17026449583</v>
      </c>
    </row>
    <row r="65" spans="2:10" x14ac:dyDescent="0.2">
      <c r="D65" s="79"/>
      <c r="F65" s="81"/>
    </row>
    <row r="66" spans="2:10" x14ac:dyDescent="0.2">
      <c r="B66" s="14" t="s">
        <v>48</v>
      </c>
      <c r="C66" s="13"/>
      <c r="D66" s="94"/>
      <c r="E66" s="13"/>
      <c r="F66" s="93"/>
      <c r="G66" s="13"/>
      <c r="H66" s="13"/>
      <c r="I66" s="13"/>
      <c r="J66" s="18"/>
    </row>
    <row r="67" spans="2:10" x14ac:dyDescent="0.2">
      <c r="B67" s="4" t="s">
        <v>49</v>
      </c>
      <c r="D67" s="79"/>
      <c r="F67" s="81"/>
    </row>
    <row r="68" spans="2:10" x14ac:dyDescent="0.2">
      <c r="B68" s="7" t="s">
        <v>50</v>
      </c>
      <c r="C68" s="6">
        <f>Comcast!F94</f>
        <v>11082.800019804319</v>
      </c>
      <c r="D68" s="97">
        <f>-Versant!F72</f>
        <v>-97.744015864000005</v>
      </c>
      <c r="E68" s="6">
        <v>0</v>
      </c>
      <c r="F68" s="96">
        <f t="shared" ref="F68:F71" si="21">SUM(C68:E68)</f>
        <v>10985.056003940319</v>
      </c>
      <c r="G68" s="6">
        <f>Comcast!F224*-'Comcast - Adjustment'!G31</f>
        <v>10891.004795053441</v>
      </c>
      <c r="H68" s="6">
        <f>Comcast!G224*-'Comcast - Adjustment'!H31</f>
        <v>10737.436557657626</v>
      </c>
      <c r="I68" s="6">
        <f>Comcast!H224*-'Comcast - Adjustment'!I31</f>
        <v>10618.723635308166</v>
      </c>
      <c r="J68" s="6">
        <f>Comcast!I224*-'Comcast - Adjustment'!J31</f>
        <v>10490.213666504163</v>
      </c>
    </row>
    <row r="69" spans="2:10" x14ac:dyDescent="0.2">
      <c r="B69" s="7" t="s">
        <v>51</v>
      </c>
      <c r="C69" s="6">
        <f>Comcast!F95</f>
        <v>3810.7789299999995</v>
      </c>
      <c r="D69" s="97">
        <f>-Versant!F73</f>
        <v>-153.45311999999998</v>
      </c>
      <c r="E69" s="6">
        <v>0</v>
      </c>
      <c r="F69" s="96">
        <f t="shared" si="21"/>
        <v>3657.3258099999994</v>
      </c>
      <c r="G69" s="6">
        <f>SUM(G16:G17)*Comcast!F227</f>
        <v>3658.4531224921234</v>
      </c>
      <c r="H69" s="6">
        <f>SUM(H16:H17)*Comcast!G227</f>
        <v>3950.2655156427295</v>
      </c>
      <c r="I69" s="6">
        <f>SUM(I16:I17)*Comcast!H227</f>
        <v>4276.1230122496418</v>
      </c>
      <c r="J69" s="6">
        <f>SUM(J16:J17)*Comcast!I227</f>
        <v>4611.5928057438377</v>
      </c>
    </row>
    <row r="70" spans="2:10" x14ac:dyDescent="0.2">
      <c r="B70" s="7" t="s">
        <v>100</v>
      </c>
      <c r="C70" s="6">
        <f>Comcast!F96</f>
        <v>11636.212699155467</v>
      </c>
      <c r="D70" s="97">
        <f>-Versant!F74-Versant!F75</f>
        <v>-328.14186403340545</v>
      </c>
      <c r="E70" s="6">
        <v>0</v>
      </c>
      <c r="F70" s="96">
        <f t="shared" si="21"/>
        <v>11308.070835122062</v>
      </c>
      <c r="G70" s="6">
        <f>Comcast!F230*-'Comcast - Adjustment'!G31</f>
        <v>11434.840299951698</v>
      </c>
      <c r="H70" s="6">
        <f>Comcast!G230*-'Comcast - Adjustment'!H31</f>
        <v>11608.042801381443</v>
      </c>
      <c r="I70" s="6">
        <f>Comcast!H230*-'Comcast - Adjustment'!I31</f>
        <v>11830.669268971047</v>
      </c>
      <c r="J70" s="6">
        <f>Comcast!I230*-'Comcast - Adjustment'!J31</f>
        <v>12056.078145260106</v>
      </c>
    </row>
    <row r="71" spans="2:10" x14ac:dyDescent="0.2">
      <c r="B71" s="7" t="s">
        <v>101</v>
      </c>
      <c r="C71" s="6">
        <f>Comcast!F97</f>
        <v>0</v>
      </c>
      <c r="D71" s="97">
        <v>0</v>
      </c>
      <c r="E71" s="6">
        <v>0</v>
      </c>
      <c r="F71" s="96">
        <f t="shared" si="21"/>
        <v>0</v>
      </c>
      <c r="G71" s="6">
        <f>F71</f>
        <v>0</v>
      </c>
      <c r="H71" s="6">
        <f t="shared" ref="H71:J71" si="22">G71</f>
        <v>0</v>
      </c>
      <c r="I71" s="6">
        <f t="shared" si="22"/>
        <v>0</v>
      </c>
      <c r="J71" s="6">
        <f t="shared" si="22"/>
        <v>0</v>
      </c>
    </row>
    <row r="72" spans="2:10" x14ac:dyDescent="0.2">
      <c r="B72" s="4" t="s">
        <v>53</v>
      </c>
      <c r="C72" s="5">
        <f>SUM(C68:C71)</f>
        <v>26529.791648959785</v>
      </c>
      <c r="D72" s="79"/>
      <c r="F72" s="95">
        <f>SUM(F68:F71)</f>
        <v>25950.452649062383</v>
      </c>
      <c r="G72" s="5">
        <f t="shared" ref="G72:J72" si="23">SUM(G68:G71)</f>
        <v>25984.298217497264</v>
      </c>
      <c r="H72" s="5">
        <f t="shared" si="23"/>
        <v>26295.744874681797</v>
      </c>
      <c r="I72" s="5">
        <f t="shared" si="23"/>
        <v>26725.515916528857</v>
      </c>
      <c r="J72" s="5">
        <f t="shared" si="23"/>
        <v>27157.884617508105</v>
      </c>
    </row>
    <row r="73" spans="2:10" x14ac:dyDescent="0.2">
      <c r="D73" s="79"/>
      <c r="F73" s="81"/>
    </row>
    <row r="74" spans="2:10" x14ac:dyDescent="0.2">
      <c r="B74" s="4" t="s">
        <v>54</v>
      </c>
      <c r="D74" s="79"/>
      <c r="F74" s="81"/>
    </row>
    <row r="75" spans="2:10" x14ac:dyDescent="0.2">
      <c r="B75" s="7" t="s">
        <v>102</v>
      </c>
      <c r="C75" s="6">
        <f>Comcast!F101</f>
        <v>94193</v>
      </c>
      <c r="D75" s="97">
        <v>0</v>
      </c>
      <c r="E75" s="6">
        <v>0</v>
      </c>
      <c r="F75" s="96">
        <f t="shared" ref="F75:F78" si="24">SUM(C75:E75)</f>
        <v>94193</v>
      </c>
      <c r="G75" s="6">
        <f>F75+G121</f>
        <v>89293</v>
      </c>
      <c r="H75" s="6">
        <f t="shared" ref="H75:J75" si="25">G75+H121</f>
        <v>83593</v>
      </c>
      <c r="I75" s="6">
        <f t="shared" si="25"/>
        <v>76593</v>
      </c>
      <c r="J75" s="6">
        <f t="shared" si="25"/>
        <v>71793</v>
      </c>
    </row>
    <row r="76" spans="2:10" x14ac:dyDescent="0.2">
      <c r="B76" s="7" t="s">
        <v>55</v>
      </c>
      <c r="C76" s="6">
        <f>Comcast!F102</f>
        <v>23960.212820214725</v>
      </c>
      <c r="D76" s="97">
        <f>-Versant!F79</f>
        <v>-306.10493600000001</v>
      </c>
      <c r="E76" s="6">
        <v>0</v>
      </c>
      <c r="F76" s="96">
        <f t="shared" si="24"/>
        <v>23654.107884214725</v>
      </c>
      <c r="G76" s="6">
        <f>F76+G102</f>
        <v>22461.354374031962</v>
      </c>
      <c r="H76" s="6">
        <f t="shared" ref="H76:J76" si="26">G76+H102</f>
        <v>21226.639936746673</v>
      </c>
      <c r="I76" s="6">
        <f t="shared" si="26"/>
        <v>19934.384157758406</v>
      </c>
      <c r="J76" s="6">
        <f t="shared" si="26"/>
        <v>18579.846644869747</v>
      </c>
    </row>
    <row r="77" spans="2:10" x14ac:dyDescent="0.2">
      <c r="B77" s="7" t="s">
        <v>103</v>
      </c>
      <c r="C77" s="6">
        <f>Comcast!F103</f>
        <v>21730.646091958617</v>
      </c>
      <c r="D77" s="97">
        <f>-Versant!F80-Versant!F81</f>
        <v>-108.97758154448979</v>
      </c>
      <c r="E77" s="6">
        <v>0</v>
      </c>
      <c r="F77" s="96">
        <f t="shared" si="24"/>
        <v>21621.668510414129</v>
      </c>
      <c r="G77" s="6">
        <f>Comcast!F233*-'Comcast - Adjustment'!G31</f>
        <v>21354.582809778902</v>
      </c>
      <c r="H77" s="6">
        <f>Comcast!G233*-'Comcast - Adjustment'!H31</f>
        <v>22315.105384492457</v>
      </c>
      <c r="I77" s="6">
        <f>Comcast!H233*-'Comcast - Adjustment'!I31</f>
        <v>23392.36343829356</v>
      </c>
      <c r="J77" s="6">
        <f>Comcast!I233*-'Comcast - Adjustment'!J31</f>
        <v>24499.711895123517</v>
      </c>
    </row>
    <row r="78" spans="2:10" x14ac:dyDescent="0.2">
      <c r="B78" s="7" t="s">
        <v>104</v>
      </c>
      <c r="C78" s="6">
        <f>Comcast!F104</f>
        <v>237</v>
      </c>
      <c r="D78" s="97">
        <v>0</v>
      </c>
      <c r="E78" s="6">
        <v>0</v>
      </c>
      <c r="F78" s="96">
        <f t="shared" si="24"/>
        <v>237</v>
      </c>
      <c r="G78" s="6">
        <f>F78</f>
        <v>237</v>
      </c>
      <c r="H78" s="6">
        <f t="shared" ref="H78:J78" si="27">G78</f>
        <v>237</v>
      </c>
      <c r="I78" s="6">
        <f t="shared" si="27"/>
        <v>237</v>
      </c>
      <c r="J78" s="6">
        <f t="shared" si="27"/>
        <v>237</v>
      </c>
    </row>
    <row r="79" spans="2:10" x14ac:dyDescent="0.2">
      <c r="B79" s="4" t="s">
        <v>59</v>
      </c>
      <c r="C79" s="5">
        <f>SUM(C75:C78)</f>
        <v>140120.85891217334</v>
      </c>
      <c r="D79" s="79"/>
      <c r="F79" s="95">
        <f>SUM(F75:F78)</f>
        <v>139705.77639462886</v>
      </c>
      <c r="G79" s="5">
        <f t="shared" ref="G79:J79" si="28">SUM(G75:G78)</f>
        <v>133345.93718381086</v>
      </c>
      <c r="H79" s="5">
        <f t="shared" si="28"/>
        <v>127371.74532123914</v>
      </c>
      <c r="I79" s="5">
        <f t="shared" si="28"/>
        <v>120156.74759605197</v>
      </c>
      <c r="J79" s="5">
        <f t="shared" si="28"/>
        <v>115109.55853999326</v>
      </c>
    </row>
    <row r="80" spans="2:10" x14ac:dyDescent="0.2">
      <c r="B80" s="4"/>
      <c r="C80" s="5"/>
      <c r="D80" s="79"/>
      <c r="F80" s="81"/>
    </row>
    <row r="81" spans="2:10" x14ac:dyDescent="0.2">
      <c r="B81" s="12" t="s">
        <v>60</v>
      </c>
      <c r="C81" s="5">
        <f>C79+C72</f>
        <v>166650.65056113311</v>
      </c>
      <c r="D81" s="79"/>
      <c r="F81" s="95">
        <f>F79+F72</f>
        <v>165656.22904369124</v>
      </c>
      <c r="G81" s="5">
        <f t="shared" ref="G81:J81" si="29">G79+G72</f>
        <v>159330.23540130813</v>
      </c>
      <c r="H81" s="5">
        <f t="shared" si="29"/>
        <v>153667.49019592092</v>
      </c>
      <c r="I81" s="5">
        <f t="shared" si="29"/>
        <v>146882.26351258083</v>
      </c>
      <c r="J81" s="5">
        <f t="shared" si="29"/>
        <v>142267.44315750137</v>
      </c>
    </row>
    <row r="82" spans="2:10" x14ac:dyDescent="0.2">
      <c r="D82" s="79"/>
      <c r="F82" s="81"/>
    </row>
    <row r="83" spans="2:10" x14ac:dyDescent="0.2">
      <c r="B83" s="7" t="s">
        <v>105</v>
      </c>
      <c r="C83" s="6">
        <f>Comcast!F109</f>
        <v>100738.27244295893</v>
      </c>
      <c r="D83" s="97">
        <f>-Versant!F86</f>
        <v>-9955.1153311991093</v>
      </c>
      <c r="E83" s="6">
        <f>C9</f>
        <v>2250</v>
      </c>
      <c r="F83" s="96">
        <f t="shared" ref="F83:F84" si="30">SUM(C83:E83)</f>
        <v>93033.157111759821</v>
      </c>
      <c r="G83" s="6">
        <f>F83+G42+G101+G100+G99+G98+G97+G118+G124+G125+G123+G122+G128</f>
        <v>97989.271378486141</v>
      </c>
      <c r="H83" s="6">
        <f t="shared" ref="H83:J83" si="31">G83+H42+H101+H100+H99+H98+H97+H118+H124+H125+H123+H122+H128</f>
        <v>103182.30580401703</v>
      </c>
      <c r="I83" s="6">
        <f t="shared" si="31"/>
        <v>108770.04987842131</v>
      </c>
      <c r="J83" s="6">
        <f t="shared" si="31"/>
        <v>114783.20624699449</v>
      </c>
    </row>
    <row r="84" spans="2:10" x14ac:dyDescent="0.2">
      <c r="B84" s="7" t="s">
        <v>106</v>
      </c>
      <c r="C84" s="6">
        <f>Comcast!F110</f>
        <v>824.33333333333326</v>
      </c>
      <c r="D84" s="97">
        <f>-Versant!F87</f>
        <v>-118</v>
      </c>
      <c r="F84" s="96">
        <f t="shared" si="30"/>
        <v>706.33333333333326</v>
      </c>
      <c r="G84" s="6">
        <f>F84-G40+G41</f>
        <v>1053.6666666666665</v>
      </c>
      <c r="H84" s="6">
        <f t="shared" ref="H84:J84" si="32">G84-H40+H41</f>
        <v>1400.9999999999998</v>
      </c>
      <c r="I84" s="6">
        <f t="shared" si="32"/>
        <v>1748.333333333333</v>
      </c>
      <c r="J84" s="6">
        <f t="shared" si="32"/>
        <v>2095.6666666666665</v>
      </c>
    </row>
    <row r="85" spans="2:10" x14ac:dyDescent="0.2">
      <c r="B85" s="4" t="s">
        <v>107</v>
      </c>
      <c r="C85" s="5">
        <f>SUM(C83:C84)</f>
        <v>101562.60577629226</v>
      </c>
      <c r="D85" s="79"/>
      <c r="F85" s="95">
        <f>SUM(F83:F84)</f>
        <v>93739.49044509315</v>
      </c>
      <c r="G85" s="5">
        <f>SUM(G83:G84)</f>
        <v>99042.938045152812</v>
      </c>
      <c r="H85" s="5">
        <f t="shared" ref="H85" si="33">SUM(H83:H84)</f>
        <v>104583.30580401703</v>
      </c>
      <c r="I85" s="5">
        <f>SUM(I83:I84)-1.48</f>
        <v>110516.90321175464</v>
      </c>
      <c r="J85" s="5">
        <f>SUM(J83:J84)-2.15</f>
        <v>116876.72291366117</v>
      </c>
    </row>
    <row r="86" spans="2:10" x14ac:dyDescent="0.2">
      <c r="D86" s="79"/>
      <c r="F86" s="81"/>
    </row>
    <row r="87" spans="2:10" x14ac:dyDescent="0.2">
      <c r="B87" s="29" t="s">
        <v>62</v>
      </c>
      <c r="C87" s="30" t="str">
        <f>IF(AND(C64-C81-C85&lt;1,C64-C81-C85&gt;-1), "OK!",C64-C81-C85)</f>
        <v>OK!</v>
      </c>
      <c r="D87" s="79"/>
      <c r="F87" s="98" t="str">
        <f>IF(AND(F64-F81-F85&lt;1,F64-F81-F85&gt;-1), "OK!",F64-F81-F85)</f>
        <v>OK!</v>
      </c>
      <c r="G87" s="30" t="str">
        <f>IF(AND(G64-G81-G85&lt;1,G64-G81-G85&gt;-1), "OK!",G64-G81-G85)</f>
        <v>OK!</v>
      </c>
      <c r="H87" s="30" t="str">
        <f t="shared" ref="H87:J87" si="34">IF(AND(H64-H81-H85&lt;1,H64-H81-H85&gt;-1), "OK!",H64-H81-H85)</f>
        <v>OK!</v>
      </c>
      <c r="I87" s="30" t="str">
        <f t="shared" si="34"/>
        <v>OK!</v>
      </c>
      <c r="J87" s="30" t="str">
        <f t="shared" si="34"/>
        <v>OK!</v>
      </c>
    </row>
    <row r="88" spans="2:10" x14ac:dyDescent="0.2">
      <c r="D88" s="79"/>
      <c r="F88" s="81"/>
    </row>
    <row r="89" spans="2:10" x14ac:dyDescent="0.2">
      <c r="B89" s="2"/>
      <c r="C89" s="10"/>
      <c r="D89" s="132" t="s">
        <v>162</v>
      </c>
      <c r="E89" s="133"/>
      <c r="F89" s="133"/>
      <c r="G89" s="132" t="s">
        <v>163</v>
      </c>
      <c r="H89" s="133"/>
      <c r="I89" s="133"/>
      <c r="J89" s="133"/>
    </row>
    <row r="90" spans="2:10" x14ac:dyDescent="0.2">
      <c r="B90" s="10" t="s">
        <v>244</v>
      </c>
      <c r="C90" s="46">
        <f>DATE(2025, 12,31)</f>
        <v>46022</v>
      </c>
      <c r="D90" s="67" t="s">
        <v>223</v>
      </c>
      <c r="E90" s="68" t="s">
        <v>222</v>
      </c>
      <c r="F90" s="47">
        <f>C90</f>
        <v>46022</v>
      </c>
      <c r="G90" s="48">
        <f>EOMONTH(F90,12)</f>
        <v>46387</v>
      </c>
      <c r="H90" s="46">
        <f t="shared" ref="H90" si="35">EOMONTH(G90,12)</f>
        <v>46752</v>
      </c>
      <c r="I90" s="46">
        <f t="shared" ref="I90" si="36">EOMONTH(H90,12)</f>
        <v>47118</v>
      </c>
      <c r="J90" s="46">
        <f t="shared" ref="J90" si="37">EOMONTH(I90,12)</f>
        <v>47483</v>
      </c>
    </row>
    <row r="91" spans="2:10" x14ac:dyDescent="0.2">
      <c r="B91" s="4" t="s">
        <v>245</v>
      </c>
      <c r="C91" s="5">
        <f>C39</f>
        <v>13962.981942322282</v>
      </c>
      <c r="D91" s="79"/>
      <c r="F91" s="81"/>
      <c r="G91" s="5">
        <f>G39</f>
        <v>13146.956323907869</v>
      </c>
      <c r="H91" s="5">
        <f t="shared" ref="H91:J91" si="38">H39</f>
        <v>13609.464688979107</v>
      </c>
      <c r="I91" s="5">
        <f t="shared" si="38"/>
        <v>14243.7059632489</v>
      </c>
      <c r="J91" s="5">
        <f t="shared" si="38"/>
        <v>14930.19753789141</v>
      </c>
    </row>
    <row r="92" spans="2:10" x14ac:dyDescent="0.2">
      <c r="B92" t="s">
        <v>76</v>
      </c>
      <c r="D92" s="79"/>
      <c r="F92" s="81"/>
    </row>
    <row r="93" spans="2:10" x14ac:dyDescent="0.2">
      <c r="B93" s="7" t="s">
        <v>77</v>
      </c>
      <c r="C93" s="6">
        <f>Comcast!F36</f>
        <v>9009.7390997729926</v>
      </c>
      <c r="D93" s="79"/>
      <c r="F93" s="81"/>
      <c r="G93" s="6">
        <f>Comcast!G36</f>
        <v>9144.8851862695865</v>
      </c>
      <c r="H93" s="6">
        <f>Comcast!H36</f>
        <v>9282.058464063628</v>
      </c>
      <c r="I93" s="6">
        <f>Comcast!I36</f>
        <v>9421.2893410245833</v>
      </c>
      <c r="J93" s="6">
        <f>Comcast!J36</f>
        <v>9562.6086811399491</v>
      </c>
    </row>
    <row r="94" spans="2:10" x14ac:dyDescent="0.2">
      <c r="B94" s="7" t="s">
        <v>78</v>
      </c>
      <c r="C94" s="6">
        <f>Comcast!F37</f>
        <v>6288.6669649999994</v>
      </c>
      <c r="D94" s="79"/>
      <c r="F94" s="81"/>
      <c r="G94" s="6">
        <f>Comcast!G37</f>
        <v>6510.4677389499984</v>
      </c>
      <c r="H94" s="6">
        <f>Comcast!H37</f>
        <v>6737.5075860513725</v>
      </c>
      <c r="I94" s="6">
        <f>Comcast!I37</f>
        <v>6969.8937733245248</v>
      </c>
      <c r="J94" s="6">
        <f>Comcast!J37</f>
        <v>7207.7356070090091</v>
      </c>
    </row>
    <row r="95" spans="2:10" x14ac:dyDescent="0.2">
      <c r="B95" s="100" t="s">
        <v>246</v>
      </c>
      <c r="C95" s="101">
        <v>0</v>
      </c>
      <c r="D95" s="103"/>
      <c r="E95" s="102"/>
      <c r="F95" s="104"/>
      <c r="G95" s="101">
        <f>-Versant!G27</f>
        <v>-1008.2692672000002</v>
      </c>
      <c r="H95" s="101">
        <f>-Versant!H27</f>
        <v>-1080.4297358400001</v>
      </c>
      <c r="I95" s="101">
        <f>-Versant!I27</f>
        <v>-1036.0461366528</v>
      </c>
      <c r="J95" s="101">
        <f>-Versant!J27</f>
        <v>-993.09902231904005</v>
      </c>
    </row>
    <row r="96" spans="2:10" x14ac:dyDescent="0.2">
      <c r="B96" s="7" t="s">
        <v>79</v>
      </c>
      <c r="C96" s="6">
        <f>Comcast!F38</f>
        <v>0</v>
      </c>
      <c r="D96" s="79"/>
      <c r="F96" s="81"/>
      <c r="G96" s="6">
        <f>Comcast!G38</f>
        <v>0</v>
      </c>
      <c r="H96" s="6">
        <f>Comcast!H38</f>
        <v>0</v>
      </c>
      <c r="I96" s="6">
        <f>Comcast!I38</f>
        <v>0</v>
      </c>
      <c r="J96" s="6">
        <f>Comcast!J38</f>
        <v>0</v>
      </c>
    </row>
    <row r="97" spans="2:10" x14ac:dyDescent="0.2">
      <c r="B97" s="7" t="s">
        <v>80</v>
      </c>
      <c r="C97" s="6">
        <f>Comcast!F39</f>
        <v>1288.3333333333333</v>
      </c>
      <c r="D97" s="79"/>
      <c r="F97" s="81"/>
      <c r="G97" s="6">
        <f>Comcast!G39</f>
        <v>1288.3333333333333</v>
      </c>
      <c r="H97" s="6">
        <f>Comcast!H39</f>
        <v>1288.3333333333333</v>
      </c>
      <c r="I97" s="6">
        <f>Comcast!I39</f>
        <v>1288.3333333333333</v>
      </c>
      <c r="J97" s="6">
        <f>Comcast!J39</f>
        <v>1288.3333333333333</v>
      </c>
    </row>
    <row r="98" spans="2:10" x14ac:dyDescent="0.2">
      <c r="B98" s="76" t="s">
        <v>247</v>
      </c>
      <c r="C98" s="77">
        <v>0</v>
      </c>
      <c r="D98" s="80"/>
      <c r="E98" s="78"/>
      <c r="F98" s="82"/>
      <c r="G98" s="77">
        <f>-Versant!G28</f>
        <v>-16</v>
      </c>
      <c r="H98" s="77">
        <f>-Versant!H28</f>
        <v>-16</v>
      </c>
      <c r="I98" s="77">
        <f>-Versant!I28</f>
        <v>-16</v>
      </c>
      <c r="J98" s="77">
        <f>-Versant!J28</f>
        <v>-16</v>
      </c>
    </row>
    <row r="99" spans="2:10" x14ac:dyDescent="0.2">
      <c r="B99" s="7" t="s">
        <v>81</v>
      </c>
      <c r="C99" s="6">
        <f>Comcast!F40</f>
        <v>363</v>
      </c>
      <c r="D99" s="79"/>
      <c r="F99" s="81"/>
      <c r="G99" s="6">
        <f>Comcast!G40</f>
        <v>363</v>
      </c>
      <c r="H99" s="6">
        <f>Comcast!H40</f>
        <v>363</v>
      </c>
      <c r="I99" s="6">
        <f>Comcast!I40</f>
        <v>363</v>
      </c>
      <c r="J99" s="6">
        <f>Comcast!J40</f>
        <v>363</v>
      </c>
    </row>
    <row r="100" spans="2:10" x14ac:dyDescent="0.2">
      <c r="B100" s="7" t="s">
        <v>82</v>
      </c>
      <c r="C100" s="6">
        <f>Comcast!F41</f>
        <v>499</v>
      </c>
      <c r="D100" s="79"/>
      <c r="F100" s="81"/>
      <c r="G100" s="6">
        <f>Comcast!G41</f>
        <v>499</v>
      </c>
      <c r="H100" s="6">
        <f>Comcast!H41</f>
        <v>499</v>
      </c>
      <c r="I100" s="6">
        <f>Comcast!I41</f>
        <v>499</v>
      </c>
      <c r="J100" s="6">
        <f>Comcast!J41</f>
        <v>499</v>
      </c>
    </row>
    <row r="101" spans="2:10" x14ac:dyDescent="0.2">
      <c r="B101" s="76" t="s">
        <v>248</v>
      </c>
      <c r="C101" s="77">
        <v>0</v>
      </c>
      <c r="D101" s="80"/>
      <c r="E101" s="78"/>
      <c r="F101" s="82"/>
      <c r="G101" s="77">
        <f>-Versant!G29</f>
        <v>0</v>
      </c>
      <c r="H101" s="77">
        <f>-Versant!H29</f>
        <v>0</v>
      </c>
      <c r="I101" s="77">
        <f>-Versant!I29</f>
        <v>0</v>
      </c>
      <c r="J101" s="77">
        <f>-Versant!J29</f>
        <v>0</v>
      </c>
    </row>
    <row r="102" spans="2:10" x14ac:dyDescent="0.2">
      <c r="B102" s="7" t="s">
        <v>83</v>
      </c>
      <c r="C102" s="6">
        <f>Comcast!F42</f>
        <v>-1266.787179785274</v>
      </c>
      <c r="D102" s="79"/>
      <c r="F102" s="81"/>
      <c r="G102" s="6">
        <f>G38*Comcast!F182</f>
        <v>-1192.7535101827621</v>
      </c>
      <c r="H102" s="6">
        <f>H38*Comcast!G182</f>
        <v>-1234.7144372852895</v>
      </c>
      <c r="I102" s="6">
        <f>I38*Comcast!H182</f>
        <v>-1292.2557789882653</v>
      </c>
      <c r="J102" s="6">
        <f>J38*Comcast!I182</f>
        <v>-1354.5375128886603</v>
      </c>
    </row>
    <row r="103" spans="2:10" x14ac:dyDescent="0.2">
      <c r="B103" s="11" t="s">
        <v>22</v>
      </c>
      <c r="D103" s="79"/>
      <c r="F103" s="81"/>
    </row>
    <row r="104" spans="2:10" x14ac:dyDescent="0.2">
      <c r="B104" s="7" t="s">
        <v>84</v>
      </c>
      <c r="C104" s="6">
        <f>Comcast!F44</f>
        <v>-86.07491643558933</v>
      </c>
      <c r="D104" s="79"/>
      <c r="F104" s="81"/>
      <c r="G104" s="6">
        <f>F50-G50</f>
        <v>-594.24392378487209</v>
      </c>
      <c r="H104" s="6">
        <f t="shared" ref="H104:J104" si="39">G50-H50</f>
        <v>-965.00829556439021</v>
      </c>
      <c r="I104" s="6">
        <f t="shared" si="39"/>
        <v>-212.43870383677131</v>
      </c>
      <c r="J104" s="6">
        <f t="shared" si="39"/>
        <v>-215.62528439432208</v>
      </c>
    </row>
    <row r="105" spans="2:10" x14ac:dyDescent="0.2">
      <c r="B105" s="7" t="s">
        <v>85</v>
      </c>
      <c r="C105" s="6">
        <f>Comcast!F45</f>
        <v>-254.3244126715872</v>
      </c>
      <c r="D105" s="79"/>
      <c r="F105" s="81"/>
      <c r="G105" s="6">
        <f>F55-G55</f>
        <v>298.12398372254393</v>
      </c>
      <c r="H105" s="6">
        <f t="shared" ref="H105:J105" si="40">G55-H55</f>
        <v>-116.98215871219327</v>
      </c>
      <c r="I105" s="6">
        <f t="shared" si="40"/>
        <v>-243.10868768207911</v>
      </c>
      <c r="J105" s="6">
        <f t="shared" si="40"/>
        <v>-244.74047751101534</v>
      </c>
    </row>
    <row r="106" spans="2:10" x14ac:dyDescent="0.2">
      <c r="B106" s="7" t="s">
        <v>86</v>
      </c>
      <c r="C106" s="6">
        <f>Comcast!F46</f>
        <v>719.01271895978607</v>
      </c>
      <c r="D106" s="79"/>
      <c r="F106" s="81"/>
      <c r="G106" s="6">
        <f>G68-F68+G69-F69+G70-F70</f>
        <v>33.845568434882807</v>
      </c>
      <c r="H106" s="6">
        <f t="shared" ref="H106:J106" si="41">H68-G68+H69-G69+H70-G70</f>
        <v>311.44665718453689</v>
      </c>
      <c r="I106" s="6">
        <f t="shared" si="41"/>
        <v>429.77104184705604</v>
      </c>
      <c r="J106" s="6">
        <f t="shared" si="41"/>
        <v>432.36870097925203</v>
      </c>
    </row>
    <row r="107" spans="2:10" x14ac:dyDescent="0.2">
      <c r="B107" s="7" t="s">
        <v>87</v>
      </c>
      <c r="C107" s="6">
        <f>Comcast!F47</f>
        <v>629.27457445862092</v>
      </c>
      <c r="D107" s="79"/>
      <c r="F107" s="81"/>
      <c r="G107" s="6">
        <f>F51-G51+F61-G61+G77-F77</f>
        <v>318.52540886834686</v>
      </c>
      <c r="H107" s="6">
        <f t="shared" ref="H107:J107" si="42">G51-H51+G61-H61+H77-G77</f>
        <v>173.20567072421181</v>
      </c>
      <c r="I107" s="6">
        <f t="shared" si="42"/>
        <v>540.21372279687421</v>
      </c>
      <c r="J107" s="6">
        <f t="shared" si="42"/>
        <v>563.01677952841055</v>
      </c>
    </row>
    <row r="108" spans="2:10" x14ac:dyDescent="0.2">
      <c r="B108" s="4" t="s">
        <v>88</v>
      </c>
      <c r="C108" s="5">
        <f>SUM(C104:C107)</f>
        <v>1007.8879643112305</v>
      </c>
      <c r="D108" s="79"/>
      <c r="F108" s="81"/>
      <c r="G108" s="5">
        <f>SUM(G104:G107)</f>
        <v>56.251037240901496</v>
      </c>
      <c r="H108" s="5">
        <f t="shared" ref="H108:J108" si="43">SUM(H104:H107)</f>
        <v>-597.33812636783478</v>
      </c>
      <c r="I108" s="5">
        <f t="shared" si="43"/>
        <v>514.43737312507983</v>
      </c>
      <c r="J108" s="5">
        <f t="shared" si="43"/>
        <v>535.01971860232516</v>
      </c>
    </row>
    <row r="109" spans="2:10" x14ac:dyDescent="0.2">
      <c r="B109" s="99" t="s">
        <v>249</v>
      </c>
      <c r="C109" s="9">
        <f>C108+SUM(C91:C102)</f>
        <v>31152.822124954564</v>
      </c>
      <c r="D109" s="83"/>
      <c r="E109" s="73"/>
      <c r="F109" s="92"/>
      <c r="G109" s="9">
        <f>G108+SUM(G91:G102)</f>
        <v>28791.870842318924</v>
      </c>
      <c r="H109" s="9">
        <f t="shared" ref="H109:J109" si="44">H108+SUM(H91:H102)</f>
        <v>28850.881772934314</v>
      </c>
      <c r="I109" s="9">
        <f t="shared" si="44"/>
        <v>30955.357868415354</v>
      </c>
      <c r="J109" s="9">
        <f t="shared" si="44"/>
        <v>32022.258342768331</v>
      </c>
    </row>
    <row r="110" spans="2:10" x14ac:dyDescent="0.2">
      <c r="D110" s="79"/>
      <c r="F110" s="81"/>
    </row>
    <row r="111" spans="2:10" x14ac:dyDescent="0.2">
      <c r="B111" s="7" t="s">
        <v>29</v>
      </c>
      <c r="C111" s="6">
        <f>Comcast!F51</f>
        <v>-12200.205968571861</v>
      </c>
      <c r="D111" s="79"/>
      <c r="F111" s="81"/>
      <c r="G111" s="6">
        <f>Comcast!G51</f>
        <v>-12383.209058100438</v>
      </c>
      <c r="H111" s="6">
        <f>Comcast!H51</f>
        <v>-12568.957193971943</v>
      </c>
      <c r="I111" s="6">
        <f>Comcast!I51</f>
        <v>-12757.491551881523</v>
      </c>
      <c r="J111" s="6">
        <f>Comcast!J51</f>
        <v>-12948.853925159743</v>
      </c>
    </row>
    <row r="112" spans="2:10" x14ac:dyDescent="0.2">
      <c r="B112" s="76" t="s">
        <v>252</v>
      </c>
      <c r="C112" s="77">
        <v>0</v>
      </c>
      <c r="D112" s="80"/>
      <c r="E112" s="78"/>
      <c r="F112" s="82"/>
      <c r="G112" s="77">
        <f>-Versant!G39</f>
        <v>51.778584000000002</v>
      </c>
      <c r="H112" s="77">
        <f>-Versant!H39</f>
        <v>54.367513199999998</v>
      </c>
      <c r="I112" s="77">
        <f>-Versant!I39</f>
        <v>51.105462407999994</v>
      </c>
      <c r="J112" s="77">
        <f>-Versant!J39</f>
        <v>48.039134663519995</v>
      </c>
    </row>
    <row r="113" spans="2:10" x14ac:dyDescent="0.2">
      <c r="B113" s="7" t="s">
        <v>89</v>
      </c>
      <c r="C113" s="6">
        <f>Comcast!F52</f>
        <v>-3216.2534167284384</v>
      </c>
      <c r="D113" s="79"/>
      <c r="F113" s="81"/>
      <c r="G113" s="6">
        <f>Comcast!G52</f>
        <v>-3264.4972179793645</v>
      </c>
      <c r="H113" s="6">
        <f>Comcast!H52</f>
        <v>-3313.4646762490543</v>
      </c>
      <c r="I113" s="6">
        <f>Comcast!I52</f>
        <v>-3363.16664639279</v>
      </c>
      <c r="J113" s="6">
        <f>Comcast!J52</f>
        <v>-3413.6141460886815</v>
      </c>
    </row>
    <row r="114" spans="2:10" x14ac:dyDescent="0.2">
      <c r="B114" s="7" t="s">
        <v>204</v>
      </c>
      <c r="C114" s="6">
        <f>Comcast!F53</f>
        <v>1139</v>
      </c>
      <c r="D114" s="79"/>
      <c r="F114" s="81"/>
      <c r="G114" s="6">
        <f>Comcast!G53</f>
        <v>1139</v>
      </c>
      <c r="H114" s="6">
        <f>Comcast!H53</f>
        <v>1139</v>
      </c>
      <c r="I114" s="6">
        <f>Comcast!I53</f>
        <v>1139</v>
      </c>
      <c r="J114" s="6">
        <f>Comcast!J53</f>
        <v>1139</v>
      </c>
    </row>
    <row r="115" spans="2:10" x14ac:dyDescent="0.2">
      <c r="B115" s="7" t="s">
        <v>91</v>
      </c>
      <c r="C115" s="6">
        <f>Comcast!F54</f>
        <v>0</v>
      </c>
      <c r="D115" s="79"/>
      <c r="F115" s="81"/>
      <c r="G115" s="6">
        <f>Comcast!G54</f>
        <v>0</v>
      </c>
      <c r="H115" s="6">
        <f>Comcast!H54</f>
        <v>0</v>
      </c>
      <c r="I115" s="6">
        <f>Comcast!I54</f>
        <v>0</v>
      </c>
      <c r="J115" s="6">
        <f>Comcast!J54</f>
        <v>0</v>
      </c>
    </row>
    <row r="116" spans="2:10" x14ac:dyDescent="0.2">
      <c r="B116" s="7" t="s">
        <v>90</v>
      </c>
      <c r="C116" s="6">
        <f>Comcast!F55</f>
        <v>-1556.3333333333333</v>
      </c>
      <c r="D116" s="79"/>
      <c r="F116" s="81"/>
      <c r="G116" s="6">
        <f>Comcast!G55</f>
        <v>-1556.3333333333333</v>
      </c>
      <c r="H116" s="6">
        <f>Comcast!H55</f>
        <v>-1556.3333333333333</v>
      </c>
      <c r="I116" s="6">
        <f>Comcast!I55</f>
        <v>-1556.3333333333333</v>
      </c>
      <c r="J116" s="6">
        <f>Comcast!J55</f>
        <v>-1556.3333333333333</v>
      </c>
    </row>
    <row r="117" spans="2:10" x14ac:dyDescent="0.2">
      <c r="B117" s="76" t="s">
        <v>251</v>
      </c>
      <c r="C117" s="77">
        <v>0</v>
      </c>
      <c r="D117" s="80"/>
      <c r="E117" s="78"/>
      <c r="F117" s="82"/>
      <c r="G117" s="77">
        <f>-Versant!G40</f>
        <v>5</v>
      </c>
      <c r="H117" s="77">
        <f>-Versant!H40</f>
        <v>5</v>
      </c>
      <c r="I117" s="77">
        <f>-Versant!I40</f>
        <v>5</v>
      </c>
      <c r="J117" s="77">
        <f>-Versant!J40</f>
        <v>5</v>
      </c>
    </row>
    <row r="118" spans="2:10" x14ac:dyDescent="0.2">
      <c r="B118" s="7" t="s">
        <v>32</v>
      </c>
      <c r="C118" s="6">
        <f>Comcast!F56</f>
        <v>230.33333333333334</v>
      </c>
      <c r="D118" s="79"/>
      <c r="F118" s="81"/>
      <c r="G118" s="6">
        <f>Comcast!G56</f>
        <v>230.33333333333334</v>
      </c>
      <c r="H118" s="6">
        <f>Comcast!H56</f>
        <v>230.33333333333334</v>
      </c>
      <c r="I118" s="6">
        <f>Comcast!I56</f>
        <v>230.33333333333334</v>
      </c>
      <c r="J118" s="6">
        <f>Comcast!J56</f>
        <v>230.33333333333334</v>
      </c>
    </row>
    <row r="119" spans="2:10" x14ac:dyDescent="0.2">
      <c r="B119" s="99" t="s">
        <v>250</v>
      </c>
      <c r="C119" s="9">
        <f>SUM(C111:C118)</f>
        <v>-15603.459385300299</v>
      </c>
      <c r="D119" s="83"/>
      <c r="E119" s="73"/>
      <c r="F119" s="92"/>
      <c r="G119" s="9">
        <f>SUM(G111:G118)</f>
        <v>-15777.927692079802</v>
      </c>
      <c r="H119" s="9">
        <f>SUM(H111:H118)</f>
        <v>-16010.054357020996</v>
      </c>
      <c r="I119" s="9">
        <f>SUM(I111:I118)</f>
        <v>-16251.552735866311</v>
      </c>
      <c r="J119" s="9">
        <f>SUM(J111:J118)</f>
        <v>-16496.428936584904</v>
      </c>
    </row>
    <row r="120" spans="2:10" x14ac:dyDescent="0.2">
      <c r="D120" s="79"/>
      <c r="F120" s="81"/>
    </row>
    <row r="121" spans="2:10" x14ac:dyDescent="0.2">
      <c r="B121" s="7" t="s">
        <v>92</v>
      </c>
      <c r="C121" s="6">
        <f>Comcast!F59</f>
        <v>-4900</v>
      </c>
      <c r="D121" s="79"/>
      <c r="F121" s="81"/>
      <c r="G121" s="6">
        <f>Comcast!G59</f>
        <v>-4900</v>
      </c>
      <c r="H121" s="6">
        <f>Comcast!H59</f>
        <v>-5700</v>
      </c>
      <c r="I121" s="6">
        <f>Comcast!I59</f>
        <v>-7000</v>
      </c>
      <c r="J121" s="6">
        <f>Comcast!J59</f>
        <v>-4800</v>
      </c>
    </row>
    <row r="122" spans="2:10" x14ac:dyDescent="0.2">
      <c r="B122" s="7" t="s">
        <v>93</v>
      </c>
      <c r="C122" s="6">
        <f>Comcast!F60</f>
        <v>-6279.3482499999991</v>
      </c>
      <c r="D122" s="79"/>
      <c r="F122" s="81"/>
      <c r="G122" s="6">
        <f>Comcast!G60</f>
        <v>-6373.538473749999</v>
      </c>
      <c r="H122" s="6">
        <f>Comcast!H60</f>
        <v>-6469.1415508562477</v>
      </c>
      <c r="I122" s="6">
        <f>Comcast!I60</f>
        <v>-6566.1786741190917</v>
      </c>
      <c r="J122" s="6">
        <f>Comcast!J60</f>
        <v>-6664.6713542308762</v>
      </c>
    </row>
    <row r="123" spans="2:10" x14ac:dyDescent="0.2">
      <c r="B123" s="7" t="s">
        <v>94</v>
      </c>
      <c r="C123" s="6">
        <f>Comcast!F61</f>
        <v>-4084.6945826966839</v>
      </c>
      <c r="D123" s="79"/>
      <c r="F123" s="81"/>
      <c r="G123" s="6">
        <f>Comcast!G61</f>
        <v>-4214.3035834315588</v>
      </c>
      <c r="H123" s="6">
        <f>Comcast!H61</f>
        <v>-4344.2887125919724</v>
      </c>
      <c r="I123" s="6">
        <f>Comcast!I61</f>
        <v>-4486.7832147255276</v>
      </c>
      <c r="J123" s="6">
        <f>Comcast!J61</f>
        <v>-4649.3698150873552</v>
      </c>
    </row>
    <row r="124" spans="2:10" x14ac:dyDescent="0.2">
      <c r="B124" s="7" t="s">
        <v>32</v>
      </c>
      <c r="C124" s="6">
        <f>Comcast!F62</f>
        <v>413.33333333333331</v>
      </c>
      <c r="D124" s="79"/>
      <c r="F124" s="81"/>
      <c r="G124" s="6">
        <f>Comcast!G62</f>
        <v>413.33333333333331</v>
      </c>
      <c r="H124" s="6">
        <f>Comcast!H62</f>
        <v>413.33333333333331</v>
      </c>
      <c r="I124" s="6">
        <f>Comcast!I62</f>
        <v>413.33333333333331</v>
      </c>
      <c r="J124" s="6">
        <f>Comcast!J62</f>
        <v>413.33333333333331</v>
      </c>
    </row>
    <row r="125" spans="2:10" x14ac:dyDescent="0.2">
      <c r="B125" s="84" t="s">
        <v>254</v>
      </c>
      <c r="C125" s="85">
        <v>0</v>
      </c>
      <c r="D125" s="80"/>
      <c r="E125" s="78"/>
      <c r="F125" s="82"/>
      <c r="G125" s="85">
        <f>-Versant!G44</f>
        <v>0.66666666666666663</v>
      </c>
      <c r="H125" s="85">
        <f>-Versant!H44</f>
        <v>0.66666666666666663</v>
      </c>
      <c r="I125" s="85">
        <f>-Versant!I44</f>
        <v>0.66666666666666663</v>
      </c>
      <c r="J125" s="85">
        <f>-Versant!J44</f>
        <v>0.66666666666666663</v>
      </c>
    </row>
    <row r="126" spans="2:10" x14ac:dyDescent="0.2">
      <c r="B126" s="99" t="s">
        <v>253</v>
      </c>
      <c r="C126" s="9">
        <f>SUM(C121:C124)</f>
        <v>-14850.709499363349</v>
      </c>
      <c r="D126" s="79"/>
      <c r="F126" s="81"/>
      <c r="G126" s="9">
        <f>SUM(G121:G124)</f>
        <v>-15074.508723848225</v>
      </c>
      <c r="H126" s="9">
        <f t="shared" ref="H126:J126" si="45">SUM(H121:H124)</f>
        <v>-16100.096930114885</v>
      </c>
      <c r="I126" s="9">
        <f t="shared" si="45"/>
        <v>-17639.628555511288</v>
      </c>
      <c r="J126" s="9">
        <f t="shared" si="45"/>
        <v>-15700.707835984897</v>
      </c>
    </row>
    <row r="127" spans="2:10" x14ac:dyDescent="0.2">
      <c r="D127" s="79"/>
      <c r="F127" s="81"/>
    </row>
    <row r="128" spans="2:10" x14ac:dyDescent="0.2">
      <c r="B128" t="s">
        <v>255</v>
      </c>
      <c r="C128" s="6">
        <f>Comcast!F65</f>
        <v>-34.333333333333336</v>
      </c>
      <c r="D128" s="79"/>
      <c r="F128" s="81"/>
      <c r="G128" s="6">
        <f>Comcast!G65</f>
        <v>-34.333333333333336</v>
      </c>
      <c r="H128" s="6">
        <f>Comcast!H65</f>
        <v>-34.333333333333336</v>
      </c>
      <c r="I128" s="6">
        <f>Comcast!I65</f>
        <v>-34.333333333333336</v>
      </c>
      <c r="J128" s="6">
        <f>Comcast!J65</f>
        <v>-34.333333333333336</v>
      </c>
    </row>
    <row r="129" spans="2:10" x14ac:dyDescent="0.2">
      <c r="D129" s="79"/>
      <c r="F129" s="81"/>
    </row>
    <row r="130" spans="2:10" x14ac:dyDescent="0.2">
      <c r="B130" t="s">
        <v>149</v>
      </c>
      <c r="C130" s="6">
        <f>C109+C119+C126+C128</f>
        <v>664.3199069575827</v>
      </c>
      <c r="D130" s="79"/>
      <c r="F130" s="81"/>
      <c r="G130" s="6">
        <f>G109+G119+G126+G128</f>
        <v>-2094.8989069424365</v>
      </c>
      <c r="H130" s="6">
        <f t="shared" ref="H130" si="46">H109+H119+H126+H128</f>
        <v>-3293.6028475349008</v>
      </c>
      <c r="I130" s="6">
        <f t="shared" ref="I130:J130" si="47">I109+I119+I126+I128</f>
        <v>-2970.1567562955784</v>
      </c>
      <c r="J130" s="6">
        <f t="shared" si="47"/>
        <v>-209.21176313480223</v>
      </c>
    </row>
    <row r="131" spans="2:10" x14ac:dyDescent="0.2">
      <c r="B131" t="s">
        <v>150</v>
      </c>
      <c r="C131" s="6">
        <f>Comcast!E75</f>
        <v>7322</v>
      </c>
      <c r="D131" s="79"/>
      <c r="F131" s="81"/>
      <c r="G131" s="6">
        <f>F49</f>
        <v>10155.485638316577</v>
      </c>
      <c r="H131" s="6">
        <f>G132</f>
        <v>8060.5867313741401</v>
      </c>
      <c r="I131" s="6">
        <f t="shared" ref="I131:J131" si="48">H132</f>
        <v>4766.9838838392388</v>
      </c>
      <c r="J131" s="6">
        <f t="shared" si="48"/>
        <v>1796.8271275436605</v>
      </c>
    </row>
    <row r="132" spans="2:10" x14ac:dyDescent="0.2">
      <c r="B132" s="4" t="s">
        <v>151</v>
      </c>
      <c r="C132" s="5">
        <f>SUM(C130:C131)</f>
        <v>7986.319906957583</v>
      </c>
      <c r="D132" s="79"/>
      <c r="F132" s="81"/>
      <c r="G132" s="5">
        <f>SUM(G130:G131)</f>
        <v>8060.5867313741401</v>
      </c>
      <c r="H132" s="5">
        <f>SUM(H130:H131)</f>
        <v>4766.9838838392388</v>
      </c>
      <c r="I132" s="5">
        <f t="shared" ref="I132:J132" si="49">SUM(I130:I131)</f>
        <v>1796.8271275436605</v>
      </c>
      <c r="J132" s="5">
        <f t="shared" si="49"/>
        <v>1587.6153644088583</v>
      </c>
    </row>
    <row r="133" spans="2:10" x14ac:dyDescent="0.2">
      <c r="D133" s="79"/>
      <c r="F133" s="81"/>
    </row>
    <row r="135" spans="2:10" x14ac:dyDescent="0.2">
      <c r="B135" s="2"/>
      <c r="C135" s="10"/>
      <c r="D135" s="132" t="s">
        <v>162</v>
      </c>
      <c r="E135" s="133"/>
      <c r="F135" s="133"/>
      <c r="G135" s="132" t="s">
        <v>163</v>
      </c>
      <c r="H135" s="133"/>
      <c r="I135" s="133"/>
      <c r="J135" s="133"/>
    </row>
    <row r="136" spans="2:10" x14ac:dyDescent="0.2">
      <c r="B136" s="10" t="s">
        <v>186</v>
      </c>
      <c r="C136" s="46">
        <f>DATE(2025, 12,31)</f>
        <v>46022</v>
      </c>
      <c r="D136" s="67" t="s">
        <v>223</v>
      </c>
      <c r="E136" s="68" t="s">
        <v>222</v>
      </c>
      <c r="F136" s="47">
        <f>C136</f>
        <v>46022</v>
      </c>
      <c r="G136" s="48">
        <f>EOMONTH(F136,12)</f>
        <v>46387</v>
      </c>
      <c r="H136" s="46">
        <f t="shared" ref="H136" si="50">EOMONTH(G136,12)</f>
        <v>46752</v>
      </c>
      <c r="I136" s="46">
        <f t="shared" ref="I136" si="51">EOMONTH(H136,12)</f>
        <v>47118</v>
      </c>
      <c r="J136" s="46">
        <f t="shared" ref="J136" si="52">EOMONTH(I136,12)</f>
        <v>47483</v>
      </c>
    </row>
    <row r="137" spans="2:10" x14ac:dyDescent="0.2">
      <c r="B137" t="s">
        <v>258</v>
      </c>
      <c r="C137" s="105">
        <f>Comcast!F117</f>
        <v>-229.76027259421878</v>
      </c>
      <c r="G137" s="105">
        <f>Comcast!G117</f>
        <v>-233.20667668313206</v>
      </c>
      <c r="H137" s="105">
        <f>Comcast!H117</f>
        <v>-236.70477683337901</v>
      </c>
      <c r="I137" s="105">
        <f>Comcast!I117</f>
        <v>-240.25534848587969</v>
      </c>
      <c r="J137" s="105">
        <f>Comcast!J117</f>
        <v>-243.85917871316784</v>
      </c>
    </row>
    <row r="138" spans="2:10" x14ac:dyDescent="0.2">
      <c r="B138" t="s">
        <v>257</v>
      </c>
      <c r="C138" s="105">
        <f>Comcast!F118</f>
        <v>3373.9902014057811</v>
      </c>
      <c r="G138" s="105">
        <f>Comcast!G118</f>
        <v>3140.783524722649</v>
      </c>
      <c r="H138" s="105">
        <f>Comcast!H118</f>
        <v>2904.0787478892698</v>
      </c>
      <c r="I138" s="105">
        <f>Comcast!I118</f>
        <v>2663.8233994033903</v>
      </c>
      <c r="J138" s="105">
        <f>Comcast!J118</f>
        <v>2419.9642206902226</v>
      </c>
    </row>
    <row r="139" spans="2:10" x14ac:dyDescent="0.2">
      <c r="C139" s="105"/>
      <c r="G139" s="105"/>
      <c r="H139" s="105"/>
      <c r="I139" s="105"/>
      <c r="J139" s="105"/>
    </row>
    <row r="140" spans="2:10" x14ac:dyDescent="0.2">
      <c r="B140" t="s">
        <v>285</v>
      </c>
      <c r="C140" s="105"/>
      <c r="G140" s="25">
        <f>SUM(G16:G17)/SUM(C16:C17)-1</f>
        <v>-3.9972354814052702E-2</v>
      </c>
      <c r="H140" s="25">
        <f>SUM(H16:H17)/SUM(G16:G17)-1</f>
        <v>1.2995857277506406E-2</v>
      </c>
      <c r="I140" s="25">
        <f t="shared" ref="I140:J140" si="53">SUM(I16:I17)/SUM(H16:H17)-1</f>
        <v>1.9451470450954522E-2</v>
      </c>
      <c r="J140" s="25">
        <f t="shared" si="53"/>
        <v>1.9104542830318261E-2</v>
      </c>
    </row>
    <row r="141" spans="2:10" x14ac:dyDescent="0.2">
      <c r="C141" s="105"/>
      <c r="G141" s="105"/>
      <c r="H141" s="105"/>
      <c r="I141" s="105"/>
      <c r="J141" s="105"/>
    </row>
    <row r="142" spans="2:10" x14ac:dyDescent="0.2">
      <c r="B142" t="s">
        <v>280</v>
      </c>
      <c r="C142" s="6"/>
      <c r="G142" s="6">
        <f>Comcast!G122</f>
        <v>4.4726669319494183</v>
      </c>
      <c r="H142" s="6">
        <f>Comcast!H122</f>
        <v>4.9864220747566046</v>
      </c>
      <c r="I142" s="6">
        <f>Comcast!I122</f>
        <v>5.6144653029306433</v>
      </c>
      <c r="J142" s="6">
        <f>Comcast!J122</f>
        <v>6.4041853392378689</v>
      </c>
    </row>
    <row r="143" spans="2:10" x14ac:dyDescent="0.2">
      <c r="B143" t="s">
        <v>279</v>
      </c>
      <c r="C143" s="6">
        <f>C42/C138</f>
        <v>4.0354736665553901</v>
      </c>
      <c r="G143" s="6">
        <f>G42/G138</f>
        <v>4.0752961449977114</v>
      </c>
      <c r="H143" s="6">
        <f t="shared" ref="H143:J143" si="54">H42/H138</f>
        <v>4.5667258042795495</v>
      </c>
      <c r="I143" s="6">
        <f t="shared" si="54"/>
        <v>5.2167019153851948</v>
      </c>
      <c r="J143" s="6">
        <f t="shared" si="54"/>
        <v>6.0260660384469444</v>
      </c>
    </row>
    <row r="144" spans="2:10" x14ac:dyDescent="0.2">
      <c r="C144" s="6"/>
      <c r="G144" s="6"/>
      <c r="H144" s="6"/>
      <c r="I144" s="6"/>
      <c r="J144" s="6"/>
    </row>
    <row r="145" spans="2:10" x14ac:dyDescent="0.2">
      <c r="B145" t="s">
        <v>282</v>
      </c>
      <c r="C145" s="6"/>
      <c r="G145" s="6">
        <f>G143-G142</f>
        <v>-0.39737078695170691</v>
      </c>
      <c r="H145" s="6">
        <f t="shared" ref="H145:J145" si="55">H143-H142</f>
        <v>-0.41969627047705504</v>
      </c>
      <c r="I145" s="6">
        <f t="shared" si="55"/>
        <v>-0.39776338754544849</v>
      </c>
      <c r="J145" s="6">
        <f t="shared" si="55"/>
        <v>-0.37811930079092448</v>
      </c>
    </row>
    <row r="146" spans="2:10" x14ac:dyDescent="0.2">
      <c r="B146" t="s">
        <v>281</v>
      </c>
      <c r="C146" s="6"/>
      <c r="G146" s="25">
        <f>G145/G142</f>
        <v>-8.8844260705661857E-2</v>
      </c>
      <c r="H146" s="25">
        <f>H145/H142</f>
        <v>-8.4167818966175478E-2</v>
      </c>
      <c r="I146" s="25">
        <f>I145/I142</f>
        <v>-7.0846174316514812E-2</v>
      </c>
      <c r="J146" s="25">
        <f>J145/J142</f>
        <v>-5.9042529340027287E-2</v>
      </c>
    </row>
    <row r="148" spans="2:10" x14ac:dyDescent="0.2">
      <c r="B148" t="s">
        <v>187</v>
      </c>
      <c r="C148" s="6">
        <f>C33+SUM(C93:C96)</f>
        <v>39348.018751256895</v>
      </c>
      <c r="G148" s="6">
        <f>G33+SUM(G93:G96)</f>
        <v>37350.152523725745</v>
      </c>
      <c r="H148" s="6">
        <f t="shared" ref="H148:J148" si="56">H33+SUM(H93:H96)</f>
        <v>37914.058806653615</v>
      </c>
      <c r="I148" s="6">
        <f t="shared" si="56"/>
        <v>38768.09652611264</v>
      </c>
      <c r="J148" s="6">
        <f t="shared" si="56"/>
        <v>39611.181491008916</v>
      </c>
    </row>
    <row r="149" spans="2:10" x14ac:dyDescent="0.2">
      <c r="B149" t="s">
        <v>3</v>
      </c>
      <c r="C149" s="6">
        <f>C33</f>
        <v>24049.612686483903</v>
      </c>
      <c r="G149" s="6">
        <f>G33</f>
        <v>22703.068865706162</v>
      </c>
      <c r="H149" s="6">
        <f t="shared" ref="H149:J149" si="57">H33</f>
        <v>22974.922492378617</v>
      </c>
      <c r="I149" s="6">
        <f t="shared" si="57"/>
        <v>23412.959548416329</v>
      </c>
      <c r="J149" s="6">
        <f t="shared" si="57"/>
        <v>23833.936225179001</v>
      </c>
    </row>
    <row r="151" spans="2:10" x14ac:dyDescent="0.2">
      <c r="B151" t="s">
        <v>277</v>
      </c>
      <c r="G151" s="6">
        <f>G75-G49</f>
        <v>81232.413268625853</v>
      </c>
      <c r="H151" s="6">
        <f t="shared" ref="H151:J151" si="58">H75-H49</f>
        <v>78826.016116160754</v>
      </c>
      <c r="I151" s="6">
        <f t="shared" si="58"/>
        <v>74796.172872456344</v>
      </c>
      <c r="J151" s="6">
        <f t="shared" si="58"/>
        <v>70205.384635591137</v>
      </c>
    </row>
    <row r="152" spans="2:10" x14ac:dyDescent="0.2">
      <c r="B152" t="s">
        <v>278</v>
      </c>
      <c r="G152" s="108">
        <f>G151/G148</f>
        <v>2.1748883948204765</v>
      </c>
      <c r="H152" s="108">
        <f t="shared" ref="H152:J152" si="59">H151/H148</f>
        <v>2.0790708934155955</v>
      </c>
      <c r="I152" s="108">
        <f t="shared" si="59"/>
        <v>1.9293228085644243</v>
      </c>
      <c r="J152" s="108">
        <f t="shared" si="59"/>
        <v>1.7723628024457336</v>
      </c>
    </row>
    <row r="154" spans="2:10" x14ac:dyDescent="0.2">
      <c r="B154" t="s">
        <v>259</v>
      </c>
      <c r="C154" s="6">
        <f>C83+C75</f>
        <v>194931.27244295893</v>
      </c>
      <c r="D154" s="6"/>
      <c r="E154" s="6"/>
      <c r="F154" s="6"/>
      <c r="G154" s="6">
        <f>G83+G75</f>
        <v>187282.27137848613</v>
      </c>
      <c r="H154" s="6">
        <f>H83+H75</f>
        <v>186775.30580401703</v>
      </c>
      <c r="I154" s="6">
        <f>I83+I75</f>
        <v>185363.0498784213</v>
      </c>
      <c r="J154" s="6">
        <f>J83+J75</f>
        <v>186576.20624699449</v>
      </c>
    </row>
    <row r="155" spans="2:10" x14ac:dyDescent="0.2">
      <c r="B155" t="s">
        <v>260</v>
      </c>
      <c r="C155" s="6">
        <f>C33*(1-Parent_Marginal_Rate)</f>
        <v>18999.194022322285</v>
      </c>
      <c r="F155" s="6"/>
      <c r="G155" s="6">
        <f>G33*(1-Parent_Marginal_Rate)</f>
        <v>17935.424403907869</v>
      </c>
      <c r="H155" s="6">
        <f>H33*(1-Parent_Marginal_Rate)</f>
        <v>18150.188768979107</v>
      </c>
      <c r="I155" s="6">
        <f>I33*(1-Parent_Marginal_Rate)</f>
        <v>18496.238043248901</v>
      </c>
      <c r="J155" s="6">
        <f>J33*(1-Parent_Marginal_Rate)</f>
        <v>18828.809617891413</v>
      </c>
    </row>
    <row r="157" spans="2:10" x14ac:dyDescent="0.2">
      <c r="B157" t="s">
        <v>262</v>
      </c>
      <c r="C157" s="25">
        <f>C155/C154</f>
        <v>9.7466116053194371E-2</v>
      </c>
      <c r="G157" s="25">
        <f>G155/G154</f>
        <v>9.5766803082292087E-2</v>
      </c>
      <c r="H157" s="25">
        <f t="shared" ref="H157:J157" si="60">H155/H154</f>
        <v>9.7176597788703745E-2</v>
      </c>
      <c r="I157" s="25">
        <f t="shared" si="60"/>
        <v>9.9783846108382937E-2</v>
      </c>
      <c r="J157" s="25">
        <f t="shared" si="60"/>
        <v>0.10091752853504449</v>
      </c>
    </row>
    <row r="158" spans="2:10" x14ac:dyDescent="0.2">
      <c r="B158" t="s">
        <v>263</v>
      </c>
      <c r="C158" s="25">
        <f>C42/C83</f>
        <v>0.13515864704448394</v>
      </c>
      <c r="D158" s="25"/>
      <c r="E158" s="25"/>
      <c r="F158" s="25"/>
      <c r="G158" s="25">
        <f>G42/G83</f>
        <v>0.1306226978781754</v>
      </c>
      <c r="H158" s="25">
        <f t="shared" ref="H158:J158" si="61">H42/H83</f>
        <v>0.12853106210706003</v>
      </c>
      <c r="I158" s="25">
        <f t="shared" si="61"/>
        <v>0.12775918228821592</v>
      </c>
      <c r="J158" s="25">
        <f t="shared" si="61"/>
        <v>0.12704701917088954</v>
      </c>
    </row>
    <row r="160" spans="2:10" x14ac:dyDescent="0.2">
      <c r="B160" t="s">
        <v>127</v>
      </c>
      <c r="C160" s="25">
        <f>C20/SUM(C16:C17)</f>
        <v>0.7</v>
      </c>
      <c r="G160" s="25">
        <f>G20/SUM(G16:G17)</f>
        <v>0.70881086559036355</v>
      </c>
      <c r="H160" s="25">
        <f t="shared" ref="H160:J160" si="62">H20/SUM(H16:H17)</f>
        <v>0.70972625072042195</v>
      </c>
      <c r="I160" s="25">
        <f t="shared" si="62"/>
        <v>0.70951550278578579</v>
      </c>
      <c r="J160" s="25">
        <f t="shared" si="62"/>
        <v>0.70928168628029253</v>
      </c>
    </row>
    <row r="161" spans="2:10" x14ac:dyDescent="0.2">
      <c r="B161" t="s">
        <v>264</v>
      </c>
      <c r="C161" s="25">
        <f>C33/SUM(C16:C17)</f>
        <v>0.19149768199656633</v>
      </c>
      <c r="G161" s="25">
        <f>G33/SUM(G16:G17)</f>
        <v>0.18830257634867886</v>
      </c>
      <c r="H161" s="25">
        <f>H33/SUM(H16:H17)</f>
        <v>0.18811268452092952</v>
      </c>
      <c r="I161" s="25">
        <f>I33/SUM(I16:I17)</f>
        <v>0.18804153357185185</v>
      </c>
      <c r="J161" s="25">
        <f>J33/SUM(J16:J17)</f>
        <v>0.18783412886581094</v>
      </c>
    </row>
    <row r="162" spans="2:10" x14ac:dyDescent="0.2">
      <c r="B162" t="s">
        <v>265</v>
      </c>
      <c r="C162" s="25">
        <f>C148/SUM(C16:C17)</f>
        <v>0.31331292026411262</v>
      </c>
      <c r="G162" s="25">
        <f>G148/SUM(G16:G17)</f>
        <v>0.30978763218471644</v>
      </c>
      <c r="H162" s="25">
        <f>H148/SUM(H16:H17)</f>
        <v>0.31043044369659617</v>
      </c>
      <c r="I162" s="25">
        <f>I148/SUM(I16:I17)</f>
        <v>0.31136654506904937</v>
      </c>
      <c r="J162" s="25">
        <f>J148/SUM(J16:J17)</f>
        <v>0.31217385573302697</v>
      </c>
    </row>
    <row r="163" spans="2:10" x14ac:dyDescent="0.2">
      <c r="B163" t="s">
        <v>266</v>
      </c>
      <c r="C163" s="25">
        <f>C42/SUM(C16:C17)</f>
        <v>0.10841609723579951</v>
      </c>
      <c r="G163" s="25">
        <f>G42/SUM(G16:G17)</f>
        <v>0.10616194663698825</v>
      </c>
      <c r="H163" s="25">
        <f>H42/SUM(H16:H17)</f>
        <v>0.10858687913342484</v>
      </c>
      <c r="I163" s="25">
        <f>I42/SUM(I16:I17)</f>
        <v>0.11160892389582516</v>
      </c>
      <c r="J163" s="25">
        <f>J42/SUM(J16:J17)</f>
        <v>0.11492686597599601</v>
      </c>
    </row>
    <row r="165" spans="2:10" x14ac:dyDescent="0.2">
      <c r="B165" t="s">
        <v>283</v>
      </c>
      <c r="C165" s="108">
        <f>($G$6/C138)/C143</f>
        <v>6.6590573631110734</v>
      </c>
      <c r="G165" s="108">
        <f>($G$6/G138)/G143</f>
        <v>7.0835981020680912</v>
      </c>
      <c r="H165" s="108">
        <f t="shared" ref="H165:J165" si="63">($G$6/H138)/H143</f>
        <v>6.836562140113565</v>
      </c>
      <c r="I165" s="108">
        <f t="shared" si="63"/>
        <v>6.5245361172911904</v>
      </c>
      <c r="J165" s="108">
        <f t="shared" si="63"/>
        <v>6.2173921289674716</v>
      </c>
    </row>
    <row r="166" spans="2:10" x14ac:dyDescent="0.2">
      <c r="B166" t="s">
        <v>284</v>
      </c>
      <c r="C166" s="108">
        <f>$G$11/C148</f>
        <v>4.2052155289170381</v>
      </c>
      <c r="G166" s="108">
        <f>$G$11/G148</f>
        <v>4.4301532471599847</v>
      </c>
      <c r="H166" s="108">
        <f t="shared" ref="H166:J166" si="64">$G$11/H148</f>
        <v>4.3642623526201367</v>
      </c>
      <c r="I166" s="108">
        <f t="shared" si="64"/>
        <v>4.2681202925052668</v>
      </c>
      <c r="J166" s="108">
        <f t="shared" si="64"/>
        <v>4.1772775579153718</v>
      </c>
    </row>
  </sheetData>
  <mergeCells count="8">
    <mergeCell ref="D135:F135"/>
    <mergeCell ref="G135:J135"/>
    <mergeCell ref="D14:F14"/>
    <mergeCell ref="G14:J14"/>
    <mergeCell ref="D45:F45"/>
    <mergeCell ref="G45:J45"/>
    <mergeCell ref="D89:F89"/>
    <mergeCell ref="G89:J8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B76E6-FC3D-8742-BC64-090A765F8E1A}">
  <dimension ref="B2:P67"/>
  <sheetViews>
    <sheetView showGridLines="0" topLeftCell="A4" workbookViewId="0">
      <selection activeCell="J64" sqref="J64"/>
    </sheetView>
  </sheetViews>
  <sheetFormatPr baseColWidth="10" defaultRowHeight="16" x14ac:dyDescent="0.2"/>
  <cols>
    <col min="2" max="2" width="35.83203125" customWidth="1"/>
    <col min="3" max="3" width="16.6640625" customWidth="1"/>
    <col min="4" max="4" width="17.5" customWidth="1"/>
    <col min="5" max="5" width="23.33203125" customWidth="1"/>
    <col min="6" max="6" width="20.83203125" customWidth="1"/>
    <col min="7" max="7" width="16.83203125" customWidth="1"/>
    <col min="8" max="8" width="20.83203125" customWidth="1"/>
    <col min="9" max="9" width="16.33203125" customWidth="1"/>
    <col min="10" max="10" width="16.83203125" customWidth="1"/>
    <col min="11" max="11" width="15.6640625" customWidth="1"/>
    <col min="12" max="12" width="14.33203125" customWidth="1"/>
    <col min="13" max="13" width="15.6640625" customWidth="1"/>
    <col min="14" max="14" width="14.83203125" customWidth="1"/>
    <col min="15" max="15" width="15.1640625" customWidth="1"/>
    <col min="16" max="16" width="15.5" customWidth="1"/>
  </cols>
  <sheetData>
    <row r="2" spans="2:9" ht="19" x14ac:dyDescent="0.25">
      <c r="B2" s="1" t="s">
        <v>287</v>
      </c>
    </row>
    <row r="3" spans="2:9" ht="19" x14ac:dyDescent="0.25">
      <c r="B3" s="1"/>
    </row>
    <row r="4" spans="2:9" ht="20" customHeight="1" x14ac:dyDescent="0.2">
      <c r="B4" t="s">
        <v>295</v>
      </c>
      <c r="C4" s="25">
        <f>'Comcast - WACC'!C26</f>
        <v>8.6586935939781978E-2</v>
      </c>
      <c r="E4" s="10" t="s">
        <v>298</v>
      </c>
      <c r="F4" s="2"/>
      <c r="H4" s="10" t="s">
        <v>310</v>
      </c>
      <c r="I4" s="2"/>
    </row>
    <row r="5" spans="2:9" ht="20" customHeight="1" x14ac:dyDescent="0.2">
      <c r="C5" s="114"/>
      <c r="E5" t="s">
        <v>126</v>
      </c>
      <c r="F5" s="26">
        <v>1.4999999999999999E-2</v>
      </c>
      <c r="H5" t="s">
        <v>276</v>
      </c>
      <c r="I5" s="115">
        <v>6</v>
      </c>
    </row>
    <row r="6" spans="2:9" x14ac:dyDescent="0.2">
      <c r="B6" t="s">
        <v>309</v>
      </c>
      <c r="C6" s="105">
        <f>Parent_Shares</f>
        <v>3603.7504739999999</v>
      </c>
    </row>
    <row r="7" spans="2:9" x14ac:dyDescent="0.2">
      <c r="B7" t="s">
        <v>125</v>
      </c>
      <c r="C7" s="105">
        <f>Comcast!J118</f>
        <v>2419.9642206902226</v>
      </c>
      <c r="E7" t="s">
        <v>299</v>
      </c>
      <c r="F7" s="6">
        <f>P40</f>
        <v>18415.547512234767</v>
      </c>
      <c r="H7" t="s">
        <v>311</v>
      </c>
      <c r="I7" s="6">
        <f>P47</f>
        <v>43417.900963020955</v>
      </c>
    </row>
    <row r="8" spans="2:9" ht="20" customHeight="1" x14ac:dyDescent="0.2">
      <c r="C8" s="114"/>
    </row>
    <row r="9" spans="2:9" ht="20" customHeight="1" x14ac:dyDescent="0.2">
      <c r="C9" s="114"/>
      <c r="E9" t="s">
        <v>300</v>
      </c>
      <c r="F9" s="6">
        <f>F7*(1+F5)/(Cost_of_Capital-F5)</f>
        <v>261106.031142911</v>
      </c>
      <c r="H9" t="s">
        <v>300</v>
      </c>
      <c r="I9" s="6">
        <f>I7*I5</f>
        <v>260507.40577812574</v>
      </c>
    </row>
    <row r="10" spans="2:9" ht="20" customHeight="1" x14ac:dyDescent="0.2">
      <c r="C10" s="114"/>
      <c r="E10" t="s">
        <v>301</v>
      </c>
      <c r="F10" s="108">
        <f>F9/P47</f>
        <v>6.013787524304667</v>
      </c>
      <c r="H10" t="s">
        <v>312</v>
      </c>
      <c r="I10" s="25">
        <f>(I9*Cost_of_Capital-P40)/(I9+P40)</f>
        <v>1.484635988133899E-2</v>
      </c>
    </row>
    <row r="11" spans="2:9" x14ac:dyDescent="0.2">
      <c r="C11" s="114"/>
    </row>
    <row r="12" spans="2:9" x14ac:dyDescent="0.2">
      <c r="C12" s="114"/>
      <c r="E12" t="s">
        <v>302</v>
      </c>
      <c r="F12" s="6">
        <f>F9*P43</f>
        <v>113807.82184317916</v>
      </c>
      <c r="H12" t="s">
        <v>302</v>
      </c>
      <c r="I12" s="6">
        <f>I9*P43</f>
        <v>113546.90006910877</v>
      </c>
    </row>
    <row r="13" spans="2:9" x14ac:dyDescent="0.2">
      <c r="C13" s="114"/>
      <c r="E13" t="s">
        <v>303</v>
      </c>
      <c r="F13" s="6">
        <f>SUM(G45:P45)</f>
        <v>109308.01446186715</v>
      </c>
      <c r="H13" t="s">
        <v>303</v>
      </c>
      <c r="I13" s="6">
        <f>SUM(G45:P45)</f>
        <v>109308.01446186715</v>
      </c>
    </row>
    <row r="14" spans="2:9" x14ac:dyDescent="0.2">
      <c r="C14" s="114"/>
      <c r="E14" s="7" t="s">
        <v>304</v>
      </c>
      <c r="F14" s="6">
        <f>-'Comcast - Adjustment'!J75</f>
        <v>-71793</v>
      </c>
      <c r="H14" s="7" t="s">
        <v>304</v>
      </c>
      <c r="I14" s="6">
        <f>F14</f>
        <v>-71793</v>
      </c>
    </row>
    <row r="15" spans="2:9" x14ac:dyDescent="0.2">
      <c r="C15" s="114"/>
      <c r="E15" s="7" t="s">
        <v>305</v>
      </c>
      <c r="F15" s="6">
        <f>'Comcast - Adjustment'!J49</f>
        <v>1587.6153644088583</v>
      </c>
      <c r="H15" s="7" t="s">
        <v>305</v>
      </c>
      <c r="I15" s="6">
        <f>F15</f>
        <v>1587.6153644088583</v>
      </c>
    </row>
    <row r="16" spans="2:9" x14ac:dyDescent="0.2">
      <c r="C16" s="114"/>
      <c r="E16" s="4" t="s">
        <v>61</v>
      </c>
      <c r="F16" s="5">
        <f>SUM(F12:F15)</f>
        <v>152910.45166945516</v>
      </c>
      <c r="H16" s="4" t="s">
        <v>61</v>
      </c>
      <c r="I16" s="5">
        <f>SUM(I12:I15)</f>
        <v>152649.52989538477</v>
      </c>
    </row>
    <row r="17" spans="2:16" x14ac:dyDescent="0.2">
      <c r="C17" s="114"/>
    </row>
    <row r="18" spans="2:16" x14ac:dyDescent="0.2">
      <c r="C18" s="114"/>
      <c r="E18" t="s">
        <v>360</v>
      </c>
      <c r="F18" s="6">
        <f>(F16/C7)*(1-Parent_Implied_Discount)</f>
        <v>44.230949884907552</v>
      </c>
      <c r="H18" t="s">
        <v>360</v>
      </c>
      <c r="I18" s="6">
        <f>(I16/C7)*(1-Parent_Implied_Discount)</f>
        <v>44.155475528597783</v>
      </c>
    </row>
    <row r="19" spans="2:16" x14ac:dyDescent="0.2">
      <c r="C19" s="114"/>
      <c r="E19" t="s">
        <v>307</v>
      </c>
      <c r="F19" s="25">
        <f>F18/Parent_Share_Price-1</f>
        <v>0.6184028497953733</v>
      </c>
      <c r="H19" t="s">
        <v>307</v>
      </c>
      <c r="I19" s="25">
        <f>I18/Parent_Share_Price-1</f>
        <v>0.61564125607748954</v>
      </c>
    </row>
    <row r="20" spans="2:16" x14ac:dyDescent="0.2">
      <c r="C20" s="114"/>
      <c r="F20" s="25"/>
      <c r="I20" s="25"/>
    </row>
    <row r="21" spans="2:16" x14ac:dyDescent="0.2">
      <c r="C21" s="114"/>
      <c r="E21" t="s">
        <v>308</v>
      </c>
      <c r="F21" s="25">
        <f>F12/(F13+F12)</f>
        <v>0.5100840161232657</v>
      </c>
      <c r="H21" t="s">
        <v>308</v>
      </c>
      <c r="I21" s="25">
        <f>I12/(I13+I12)</f>
        <v>0.50951041536634467</v>
      </c>
    </row>
    <row r="23" spans="2:16" x14ac:dyDescent="0.2">
      <c r="B23" s="2"/>
      <c r="C23" s="126" t="s">
        <v>289</v>
      </c>
      <c r="D23" s="126"/>
      <c r="E23" s="126"/>
      <c r="F23" s="127"/>
      <c r="G23" s="128" t="s">
        <v>290</v>
      </c>
      <c r="H23" s="126"/>
      <c r="I23" s="126"/>
      <c r="J23" s="126"/>
      <c r="K23" s="126"/>
      <c r="L23" s="126"/>
      <c r="M23" s="126"/>
      <c r="N23" s="126"/>
      <c r="O23" s="126"/>
      <c r="P23" s="126"/>
    </row>
    <row r="24" spans="2:16" x14ac:dyDescent="0.2">
      <c r="B24" s="10" t="s">
        <v>288</v>
      </c>
      <c r="C24" s="109">
        <f>DATE(2022,12,31)</f>
        <v>44926</v>
      </c>
      <c r="D24" s="109">
        <f t="shared" ref="D24:J24" si="0">EOMONTH(C24,12)</f>
        <v>45291</v>
      </c>
      <c r="E24" s="109">
        <f t="shared" si="0"/>
        <v>45657</v>
      </c>
      <c r="F24" s="109">
        <f t="shared" si="0"/>
        <v>46022</v>
      </c>
      <c r="G24" s="109">
        <f t="shared" si="0"/>
        <v>46387</v>
      </c>
      <c r="H24" s="109">
        <f t="shared" si="0"/>
        <v>46752</v>
      </c>
      <c r="I24" s="109">
        <f t="shared" si="0"/>
        <v>47118</v>
      </c>
      <c r="J24" s="109">
        <f t="shared" si="0"/>
        <v>47483</v>
      </c>
      <c r="K24" s="109">
        <f t="shared" ref="K24:P24" si="1">EOMONTH(J24,12)</f>
        <v>47848</v>
      </c>
      <c r="L24" s="109">
        <f t="shared" si="1"/>
        <v>48213</v>
      </c>
      <c r="M24" s="109">
        <f t="shared" si="1"/>
        <v>48579</v>
      </c>
      <c r="N24" s="109">
        <f t="shared" si="1"/>
        <v>48944</v>
      </c>
      <c r="O24" s="109">
        <f t="shared" si="1"/>
        <v>49309</v>
      </c>
      <c r="P24" s="109">
        <f t="shared" si="1"/>
        <v>49674</v>
      </c>
    </row>
    <row r="25" spans="2:16" x14ac:dyDescent="0.2">
      <c r="B25" t="s">
        <v>1</v>
      </c>
      <c r="C25" s="6">
        <f>Comcast!C11</f>
        <v>121427</v>
      </c>
      <c r="D25" s="6">
        <f>Comcast!D11</f>
        <v>121572</v>
      </c>
      <c r="E25" s="6">
        <f>Comcast!E11</f>
        <v>123731</v>
      </c>
      <c r="F25" s="6">
        <f>'Comcast - Adjustment'!C16+'Comcast - Adjustment'!C17</f>
        <v>125586.96499999998</v>
      </c>
      <c r="G25" s="6">
        <f>'Comcast - Adjustment'!G16+'Comcast - Adjustment'!G17</f>
        <v>120566.95827499997</v>
      </c>
      <c r="H25" s="6">
        <f>'Comcast - Adjustment'!H16+'Comcast - Adjustment'!H17</f>
        <v>122133.82925712495</v>
      </c>
      <c r="I25" s="6">
        <f>'Comcast - Adjustment'!I16+'Comcast - Adjustment'!I17</f>
        <v>124509.51182798183</v>
      </c>
      <c r="J25" s="6">
        <f>'Comcast - Adjustment'!J16+'Comcast - Adjustment'!J17</f>
        <v>126888.20912948152</v>
      </c>
      <c r="K25" s="6">
        <f>J25*(1+K26)</f>
        <v>128791.53226642373</v>
      </c>
      <c r="L25" s="6">
        <f t="shared" ref="L25:P25" si="2">K25*(1+L26)</f>
        <v>130594.61371815366</v>
      </c>
      <c r="M25" s="6">
        <f t="shared" si="2"/>
        <v>132292.34369648964</v>
      </c>
      <c r="N25" s="6">
        <f t="shared" si="2"/>
        <v>133879.85182084751</v>
      </c>
      <c r="O25" s="6">
        <f t="shared" si="2"/>
        <v>135352.53019087683</v>
      </c>
      <c r="P25" s="6">
        <f t="shared" si="2"/>
        <v>136706.05549278561</v>
      </c>
    </row>
    <row r="26" spans="2:16" x14ac:dyDescent="0.2">
      <c r="B26" s="111" t="s">
        <v>126</v>
      </c>
      <c r="C26" s="112"/>
      <c r="D26" s="113">
        <f>D25/C25-1</f>
        <v>1.1941331005460576E-3</v>
      </c>
      <c r="E26" s="113">
        <f t="shared" ref="E26:J26" si="3">E25/D25-1</f>
        <v>1.775902345934921E-2</v>
      </c>
      <c r="F26" s="113">
        <f t="shared" si="3"/>
        <v>1.4999999999999902E-2</v>
      </c>
      <c r="G26" s="113">
        <f t="shared" si="3"/>
        <v>-3.9972354814052702E-2</v>
      </c>
      <c r="H26" s="113">
        <f t="shared" si="3"/>
        <v>1.2995857277506406E-2</v>
      </c>
      <c r="I26" s="113">
        <f t="shared" si="3"/>
        <v>1.9451470450954522E-2</v>
      </c>
      <c r="J26" s="113">
        <f t="shared" si="3"/>
        <v>1.9104542830318261E-2</v>
      </c>
      <c r="K26" s="26">
        <v>1.4999999999999999E-2</v>
      </c>
      <c r="L26" s="26">
        <f>K26-0.1%</f>
        <v>1.3999999999999999E-2</v>
      </c>
      <c r="M26" s="26">
        <f t="shared" ref="M26:P26" si="4">L26-0.1%</f>
        <v>1.2999999999999998E-2</v>
      </c>
      <c r="N26" s="26">
        <f t="shared" si="4"/>
        <v>1.1999999999999997E-2</v>
      </c>
      <c r="O26" s="26">
        <f t="shared" si="4"/>
        <v>1.0999999999999996E-2</v>
      </c>
      <c r="P26" s="26">
        <f t="shared" si="4"/>
        <v>9.999999999999995E-3</v>
      </c>
    </row>
    <row r="28" spans="2:16" x14ac:dyDescent="0.2">
      <c r="B28" t="s">
        <v>3</v>
      </c>
      <c r="C28" s="6">
        <f>Comcast!C23</f>
        <v>14041</v>
      </c>
      <c r="D28" s="6">
        <f>Comcast!D23</f>
        <v>23313</v>
      </c>
      <c r="E28" s="6">
        <f>Comcast!E23</f>
        <v>23298</v>
      </c>
      <c r="F28" s="6">
        <f>'Comcast - Adjustment'!C33</f>
        <v>24049.612686483903</v>
      </c>
      <c r="G28" s="6">
        <f>'Comcast - Adjustment'!G33</f>
        <v>22703.068865706162</v>
      </c>
      <c r="H28" s="6">
        <f>'Comcast - Adjustment'!H33</f>
        <v>22974.922492378617</v>
      </c>
      <c r="I28" s="6">
        <f>'Comcast - Adjustment'!I33</f>
        <v>23412.959548416329</v>
      </c>
      <c r="J28" s="6">
        <f>'Comcast - Adjustment'!J33</f>
        <v>23833.936225179001</v>
      </c>
      <c r="K28" s="6">
        <f>K29*K25</f>
        <v>24062.65373629026</v>
      </c>
      <c r="L28" s="6">
        <f t="shared" ref="L28:P28" si="5">L29*L25</f>
        <v>24268.936274880169</v>
      </c>
      <c r="M28" s="6">
        <f t="shared" si="5"/>
        <v>24452.140102757116</v>
      </c>
      <c r="N28" s="6">
        <f t="shared" si="5"/>
        <v>24611.685932169356</v>
      </c>
      <c r="O28" s="6">
        <f t="shared" si="5"/>
        <v>24747.061947232338</v>
      </c>
      <c r="P28" s="6">
        <f t="shared" si="5"/>
        <v>24857.826511211879</v>
      </c>
    </row>
    <row r="29" spans="2:16" x14ac:dyDescent="0.2">
      <c r="B29" s="111" t="s">
        <v>292</v>
      </c>
      <c r="C29" s="113">
        <f>C28/C25</f>
        <v>0.11563326113632058</v>
      </c>
      <c r="D29" s="113">
        <f t="shared" ref="D29:J29" si="6">D28/D25</f>
        <v>0.19176290593228704</v>
      </c>
      <c r="E29" s="113">
        <f t="shared" si="6"/>
        <v>0.18829557669460362</v>
      </c>
      <c r="F29" s="113">
        <f t="shared" si="6"/>
        <v>0.19149768199656633</v>
      </c>
      <c r="G29" s="113">
        <f t="shared" si="6"/>
        <v>0.18830257634867886</v>
      </c>
      <c r="H29" s="113">
        <f t="shared" si="6"/>
        <v>0.18811268452092952</v>
      </c>
      <c r="I29" s="113">
        <f t="shared" si="6"/>
        <v>0.18804153357185185</v>
      </c>
      <c r="J29" s="113">
        <f t="shared" si="6"/>
        <v>0.18783412886581094</v>
      </c>
      <c r="K29" s="26">
        <f>J29-0.1%</f>
        <v>0.18683412886581094</v>
      </c>
      <c r="L29" s="26">
        <f t="shared" ref="L29:P29" si="7">K29-0.1%</f>
        <v>0.18583412886581094</v>
      </c>
      <c r="M29" s="26">
        <f t="shared" si="7"/>
        <v>0.18483412886581094</v>
      </c>
      <c r="N29" s="26">
        <f t="shared" si="7"/>
        <v>0.18383412886581094</v>
      </c>
      <c r="O29" s="26">
        <f t="shared" si="7"/>
        <v>0.18283412886581094</v>
      </c>
      <c r="P29" s="26">
        <f t="shared" si="7"/>
        <v>0.18183412886581093</v>
      </c>
    </row>
    <row r="31" spans="2:16" x14ac:dyDescent="0.2">
      <c r="B31" t="s">
        <v>18</v>
      </c>
      <c r="C31" s="6">
        <f>Comcast!C36+Comcast!C37</f>
        <v>13821</v>
      </c>
      <c r="D31" s="6">
        <f>Comcast!D36+Comcast!D37</f>
        <v>14336</v>
      </c>
      <c r="E31" s="6">
        <f>Comcast!E36+Comcast!E37</f>
        <v>14801</v>
      </c>
      <c r="F31" s="6">
        <f>'Comcast - Adjustment'!C93+'Comcast - Adjustment'!C94</f>
        <v>15298.406064772993</v>
      </c>
      <c r="G31" s="6">
        <f>'Comcast - Adjustment'!G93+'Comcast - Adjustment'!G94</f>
        <v>15655.352925219584</v>
      </c>
      <c r="H31" s="6">
        <f>'Comcast - Adjustment'!H93+'Comcast - Adjustment'!H94</f>
        <v>16019.566050115001</v>
      </c>
      <c r="I31" s="6">
        <f>'Comcast - Adjustment'!I93+'Comcast - Adjustment'!I94</f>
        <v>16391.183114349107</v>
      </c>
      <c r="J31" s="6">
        <f>'Comcast - Adjustment'!J93+'Comcast - Adjustment'!J94</f>
        <v>16770.344288148957</v>
      </c>
      <c r="K31" s="6">
        <f>K32*K25</f>
        <v>17099.174371831043</v>
      </c>
      <c r="L31" s="6">
        <f t="shared" ref="L31:P31" si="8">L32*L25</f>
        <v>17416.919581267568</v>
      </c>
      <c r="M31" s="6">
        <f t="shared" si="8"/>
        <v>17722.714942041937</v>
      </c>
      <c r="N31" s="6">
        <f t="shared" si="8"/>
        <v>18015.715432438948</v>
      </c>
      <c r="O31" s="6">
        <f t="shared" si="8"/>
        <v>18295.099820310301</v>
      </c>
      <c r="P31" s="6">
        <f t="shared" si="8"/>
        <v>18560.074451809076</v>
      </c>
    </row>
    <row r="32" spans="2:16" x14ac:dyDescent="0.2">
      <c r="B32" s="111" t="s">
        <v>129</v>
      </c>
      <c r="C32" s="113">
        <f>C31/C25</f>
        <v>0.11382147298376802</v>
      </c>
      <c r="D32" s="113">
        <f t="shared" ref="D32:J32" si="9">D31/D25</f>
        <v>0.11792188990886059</v>
      </c>
      <c r="E32" s="113">
        <f t="shared" si="9"/>
        <v>0.11962240667253962</v>
      </c>
      <c r="F32" s="113">
        <f t="shared" si="9"/>
        <v>0.12181523826754628</v>
      </c>
      <c r="G32" s="113">
        <f t="shared" si="9"/>
        <v>0.12984778872426594</v>
      </c>
      <c r="H32" s="113">
        <f t="shared" si="9"/>
        <v>0.13116403659455772</v>
      </c>
      <c r="I32" s="113">
        <f t="shared" si="9"/>
        <v>0.13164603148548695</v>
      </c>
      <c r="J32" s="113">
        <f t="shared" si="9"/>
        <v>0.13216629348938061</v>
      </c>
      <c r="K32" s="26">
        <f>J32+0.06%</f>
        <v>0.1327662934893806</v>
      </c>
      <c r="L32" s="26">
        <f t="shared" ref="L32:P32" si="10">K32+0.06%</f>
        <v>0.13336629348938059</v>
      </c>
      <c r="M32" s="26">
        <f t="shared" si="10"/>
        <v>0.13396629348938058</v>
      </c>
      <c r="N32" s="26">
        <f t="shared" si="10"/>
        <v>0.13456629348938057</v>
      </c>
      <c r="O32" s="26">
        <f t="shared" si="10"/>
        <v>0.13516629348938056</v>
      </c>
      <c r="P32" s="26">
        <f t="shared" si="10"/>
        <v>0.13576629348938055</v>
      </c>
    </row>
    <row r="34" spans="2:16" x14ac:dyDescent="0.2">
      <c r="B34" t="s">
        <v>29</v>
      </c>
      <c r="C34" s="6">
        <f>Comcast!C51+Comcast!C52+Comcast!C55+Comcast!C60</f>
        <v>-29699</v>
      </c>
      <c r="D34" s="6">
        <f>Comcast!D51+Comcast!D52+Comcast!D55+Comcast!D60</f>
        <v>-28911</v>
      </c>
      <c r="E34" s="6">
        <f>Comcast!E51+Comcast!E52+Comcast!E55+Comcast!E60</f>
        <v>-25431</v>
      </c>
      <c r="F34" s="6">
        <f>SUM('Comcast - Adjustment'!C111:C113)+'Comcast - Adjustment'!C116+'Comcast - Adjustment'!C117+'Comcast - Adjustment'!C122</f>
        <v>-23252.14096863363</v>
      </c>
      <c r="G34" s="6">
        <f>SUM('Comcast - Adjustment'!G111:G113)+'Comcast - Adjustment'!G116+'Comcast - Adjustment'!G117+'Comcast - Adjustment'!G122</f>
        <v>-23520.799499163135</v>
      </c>
      <c r="H34" s="6">
        <f>SUM('Comcast - Adjustment'!H111:H113)+'Comcast - Adjustment'!H116+'Comcast - Adjustment'!H117+'Comcast - Adjustment'!H122</f>
        <v>-23848.529241210577</v>
      </c>
      <c r="I34" s="6">
        <f>SUM('Comcast - Adjustment'!I111:I113)+'Comcast - Adjustment'!I116+'Comcast - Adjustment'!I117+'Comcast - Adjustment'!I122</f>
        <v>-24187.064743318737</v>
      </c>
      <c r="J34" s="6">
        <f>SUM('Comcast - Adjustment'!J111:J113)+'Comcast - Adjustment'!J116+'Comcast - Adjustment'!J117+'Comcast - Adjustment'!J122</f>
        <v>-24530.433624149111</v>
      </c>
      <c r="K34" s="6">
        <f>K35*-K25</f>
        <v>-24833.994362378133</v>
      </c>
      <c r="L34" s="6">
        <f t="shared" ref="L34:P34" si="11">L35*-L25</f>
        <v>-25116.372976592349</v>
      </c>
      <c r="M34" s="6">
        <f t="shared" si="11"/>
        <v>-25376.739653439803</v>
      </c>
      <c r="N34" s="6">
        <f t="shared" si="11"/>
        <v>-25614.320603370656</v>
      </c>
      <c r="O34" s="6">
        <f t="shared" si="11"/>
        <v>-25828.401864912292</v>
      </c>
      <c r="P34" s="6">
        <f t="shared" si="11"/>
        <v>-26018.332855815028</v>
      </c>
    </row>
    <row r="35" spans="2:16" x14ac:dyDescent="0.2">
      <c r="B35" s="111" t="s">
        <v>129</v>
      </c>
      <c r="C35" s="113">
        <f>-C34/C25</f>
        <v>0.2445831651939025</v>
      </c>
      <c r="D35" s="113">
        <f t="shared" ref="D35:J35" si="12">-D34/D25</f>
        <v>0.23780969302141941</v>
      </c>
      <c r="E35" s="113">
        <f t="shared" si="12"/>
        <v>0.20553458712852882</v>
      </c>
      <c r="F35" s="113">
        <f t="shared" si="12"/>
        <v>0.18514772586974798</v>
      </c>
      <c r="G35" s="113">
        <f t="shared" si="12"/>
        <v>0.19508495391842581</v>
      </c>
      <c r="H35" s="113">
        <f t="shared" si="12"/>
        <v>0.19526554916249234</v>
      </c>
      <c r="I35" s="113">
        <f t="shared" si="12"/>
        <v>0.19425877098237102</v>
      </c>
      <c r="J35" s="113">
        <f t="shared" si="12"/>
        <v>0.19332319206363241</v>
      </c>
      <c r="K35" s="26">
        <f>J35-0.05%</f>
        <v>0.19282319206363241</v>
      </c>
      <c r="L35" s="26">
        <f t="shared" ref="L35:P35" si="13">K35-0.05%</f>
        <v>0.19232319206363241</v>
      </c>
      <c r="M35" s="26">
        <f t="shared" si="13"/>
        <v>0.19182319206363241</v>
      </c>
      <c r="N35" s="26">
        <f t="shared" si="13"/>
        <v>0.19132319206363241</v>
      </c>
      <c r="O35" s="26">
        <f t="shared" si="13"/>
        <v>0.19082319206363241</v>
      </c>
      <c r="P35" s="26">
        <f t="shared" si="13"/>
        <v>0.19032319206363241</v>
      </c>
    </row>
    <row r="37" spans="2:16" x14ac:dyDescent="0.2">
      <c r="B37" t="s">
        <v>291</v>
      </c>
      <c r="C37" s="6">
        <f>Comcast!C48</f>
        <v>-2904</v>
      </c>
      <c r="D37" s="6">
        <f>Comcast!D48</f>
        <v>1008</v>
      </c>
      <c r="E37" s="6">
        <f>Comcast!E48</f>
        <v>-4943</v>
      </c>
      <c r="F37" s="6">
        <f>'Comcast - Adjustment'!C108</f>
        <v>1007.8879643112305</v>
      </c>
      <c r="G37" s="6">
        <f>'Comcast - Adjustment'!G108</f>
        <v>56.251037240901496</v>
      </c>
      <c r="H37" s="6">
        <f>'Comcast - Adjustment'!H108</f>
        <v>-597.33812636783478</v>
      </c>
      <c r="I37" s="6">
        <f>'Comcast - Adjustment'!I108</f>
        <v>514.43737312507983</v>
      </c>
      <c r="J37" s="6">
        <f>'Comcast - Adjustment'!J108</f>
        <v>535.01971860232516</v>
      </c>
      <c r="K37" s="6">
        <f>(K25-J25)*K38</f>
        <v>1428.667129843202</v>
      </c>
      <c r="L37" s="6">
        <f t="shared" ref="L37:P37" si="14">(L25-K25)*L38</f>
        <v>1353.423994338131</v>
      </c>
      <c r="M37" s="6">
        <f t="shared" si="14"/>
        <v>1274.3453638117901</v>
      </c>
      <c r="N37" s="6">
        <f t="shared" si="14"/>
        <v>1191.6109417304842</v>
      </c>
      <c r="O37" s="6">
        <f t="shared" si="14"/>
        <v>1105.4177502786413</v>
      </c>
      <c r="P37" s="6">
        <f t="shared" si="14"/>
        <v>1015.9794050288396</v>
      </c>
    </row>
    <row r="38" spans="2:16" x14ac:dyDescent="0.2">
      <c r="B38" s="111" t="s">
        <v>293</v>
      </c>
      <c r="C38" s="112"/>
      <c r="D38" s="113">
        <f>D37/(D25-C25)</f>
        <v>6.9517241379310342</v>
      </c>
      <c r="E38" s="113">
        <f t="shared" ref="E38:J38" si="15">E37/(E25-D25)</f>
        <v>-2.2894858730893932</v>
      </c>
      <c r="F38" s="113">
        <f t="shared" si="15"/>
        <v>0.54305332498793901</v>
      </c>
      <c r="G38" s="113">
        <f t="shared" si="15"/>
        <v>-1.1205370893382884E-2</v>
      </c>
      <c r="H38" s="113">
        <f t="shared" si="15"/>
        <v>-0.38122993736071936</v>
      </c>
      <c r="I38" s="113">
        <f t="shared" si="15"/>
        <v>0.21654297566342318</v>
      </c>
      <c r="J38" s="113">
        <f t="shared" si="15"/>
        <v>0.22492131229350312</v>
      </c>
      <c r="K38" s="26">
        <f>AVERAGE(D38:J38)</f>
        <v>0.75061722421891486</v>
      </c>
      <c r="L38" s="26">
        <f>K38</f>
        <v>0.75061722421891486</v>
      </c>
      <c r="M38" s="26">
        <f t="shared" ref="M38:P38" si="16">L38</f>
        <v>0.75061722421891486</v>
      </c>
      <c r="N38" s="26">
        <f t="shared" si="16"/>
        <v>0.75061722421891486</v>
      </c>
      <c r="O38" s="26">
        <f t="shared" si="16"/>
        <v>0.75061722421891486</v>
      </c>
      <c r="P38" s="26">
        <f t="shared" si="16"/>
        <v>0.75061722421891486</v>
      </c>
    </row>
    <row r="40" spans="2:16" x14ac:dyDescent="0.2">
      <c r="B40" s="4" t="s">
        <v>288</v>
      </c>
      <c r="C40" s="5">
        <f>C28+C31+C34+C37</f>
        <v>-4741</v>
      </c>
      <c r="D40" s="5">
        <f t="shared" ref="D40:P40" si="17">D28+D31+D34+D37</f>
        <v>9746</v>
      </c>
      <c r="E40" s="5">
        <f t="shared" si="17"/>
        <v>7725</v>
      </c>
      <c r="F40" s="5">
        <f t="shared" si="17"/>
        <v>17103.765746934496</v>
      </c>
      <c r="G40" s="5">
        <f t="shared" si="17"/>
        <v>14893.873329003509</v>
      </c>
      <c r="H40" s="5">
        <f t="shared" si="17"/>
        <v>14548.62117491521</v>
      </c>
      <c r="I40" s="5">
        <f t="shared" si="17"/>
        <v>16131.515292571779</v>
      </c>
      <c r="J40" s="5">
        <f t="shared" si="17"/>
        <v>16608.866607781176</v>
      </c>
      <c r="K40" s="5">
        <f t="shared" si="17"/>
        <v>17756.500875586375</v>
      </c>
      <c r="L40" s="5">
        <f t="shared" si="17"/>
        <v>17922.906873893524</v>
      </c>
      <c r="M40" s="5">
        <f t="shared" si="17"/>
        <v>18072.460755171043</v>
      </c>
      <c r="N40" s="5">
        <f t="shared" si="17"/>
        <v>18204.691702968132</v>
      </c>
      <c r="O40" s="5">
        <f t="shared" si="17"/>
        <v>18319.177652908988</v>
      </c>
      <c r="P40" s="5">
        <f t="shared" si="17"/>
        <v>18415.547512234767</v>
      </c>
    </row>
    <row r="42" spans="2:16" x14ac:dyDescent="0.2">
      <c r="B42" t="s">
        <v>294</v>
      </c>
      <c r="G42">
        <v>1</v>
      </c>
      <c r="H42">
        <v>2</v>
      </c>
      <c r="I42">
        <v>3</v>
      </c>
      <c r="J42">
        <v>4</v>
      </c>
      <c r="K42">
        <v>5</v>
      </c>
      <c r="L42">
        <v>6</v>
      </c>
      <c r="M42">
        <v>7</v>
      </c>
      <c r="N42">
        <v>8</v>
      </c>
      <c r="O42">
        <v>9</v>
      </c>
      <c r="P42">
        <v>10</v>
      </c>
    </row>
    <row r="43" spans="2:16" x14ac:dyDescent="0.2">
      <c r="B43" t="s">
        <v>296</v>
      </c>
      <c r="G43">
        <f t="shared" ref="G43:P43" si="18">1/(1+Parent_Cost_of_Capital)^G42</f>
        <v>0.92031292382059293</v>
      </c>
      <c r="H43">
        <f t="shared" si="18"/>
        <v>0.84697587775120842</v>
      </c>
      <c r="I43">
        <f t="shared" si="18"/>
        <v>0.77948284645872767</v>
      </c>
      <c r="J43">
        <f t="shared" si="18"/>
        <v>0.71736813749243</v>
      </c>
      <c r="K43">
        <f t="shared" si="18"/>
        <v>0.66020316807139134</v>
      </c>
      <c r="L43">
        <f t="shared" si="18"/>
        <v>0.60759350792340039</v>
      </c>
      <c r="M43">
        <f t="shared" si="18"/>
        <v>0.55917615777139529</v>
      </c>
      <c r="N43">
        <f t="shared" si="18"/>
        <v>0.51461704468935787</v>
      </c>
      <c r="O43">
        <f t="shared" si="18"/>
        <v>0.47360871704597568</v>
      </c>
      <c r="P43">
        <f t="shared" si="18"/>
        <v>0.4358682231315017</v>
      </c>
    </row>
    <row r="45" spans="2:16" x14ac:dyDescent="0.2">
      <c r="B45" t="s">
        <v>297</v>
      </c>
      <c r="G45" s="6">
        <f>G40*G43</f>
        <v>13707.024110428767</v>
      </c>
      <c r="H45" s="6">
        <f t="shared" ref="H45:P45" si="19">H40*H43</f>
        <v>12322.331189693627</v>
      </c>
      <c r="I45" s="6">
        <f t="shared" si="19"/>
        <v>12574.239457946345</v>
      </c>
      <c r="J45" s="6">
        <f t="shared" si="19"/>
        <v>11914.671704284196</v>
      </c>
      <c r="K45" s="6">
        <f t="shared" si="19"/>
        <v>11722.898131924559</v>
      </c>
      <c r="L45" s="6">
        <f t="shared" si="19"/>
        <v>10889.841859693392</v>
      </c>
      <c r="M45" s="6">
        <f t="shared" si="19"/>
        <v>10105.689166550874</v>
      </c>
      <c r="N45" s="6">
        <f t="shared" si="19"/>
        <v>9368.444643662333</v>
      </c>
      <c r="O45" s="6">
        <f t="shared" si="19"/>
        <v>8676.1222255315333</v>
      </c>
      <c r="P45" s="6">
        <f t="shared" si="19"/>
        <v>8026.7519721515146</v>
      </c>
    </row>
    <row r="47" spans="2:16" x14ac:dyDescent="0.2">
      <c r="B47" s="4" t="s">
        <v>187</v>
      </c>
      <c r="C47" s="6">
        <f>C28+C31</f>
        <v>27862</v>
      </c>
      <c r="D47" s="6">
        <f t="shared" ref="D47:P47" si="20">D28+D31</f>
        <v>37649</v>
      </c>
      <c r="E47" s="6">
        <f t="shared" si="20"/>
        <v>38099</v>
      </c>
      <c r="F47" s="6">
        <f t="shared" si="20"/>
        <v>39348.018751256895</v>
      </c>
      <c r="G47" s="6">
        <f t="shared" si="20"/>
        <v>38358.421790925742</v>
      </c>
      <c r="H47" s="6">
        <f t="shared" si="20"/>
        <v>38994.488542493622</v>
      </c>
      <c r="I47" s="6">
        <f t="shared" si="20"/>
        <v>39804.142662765436</v>
      </c>
      <c r="J47" s="6">
        <f t="shared" si="20"/>
        <v>40604.280513327962</v>
      </c>
      <c r="K47" s="6">
        <f t="shared" si="20"/>
        <v>41161.828108121306</v>
      </c>
      <c r="L47" s="6">
        <f t="shared" si="20"/>
        <v>41685.85585614774</v>
      </c>
      <c r="M47" s="6">
        <f t="shared" si="20"/>
        <v>42174.855044799056</v>
      </c>
      <c r="N47" s="6">
        <f t="shared" si="20"/>
        <v>42627.401364608304</v>
      </c>
      <c r="O47" s="6">
        <f t="shared" si="20"/>
        <v>43042.161767542639</v>
      </c>
      <c r="P47" s="6">
        <f t="shared" si="20"/>
        <v>43417.900963020955</v>
      </c>
    </row>
    <row r="50" spans="2:11" x14ac:dyDescent="0.2">
      <c r="B50" s="126" t="s">
        <v>346</v>
      </c>
      <c r="C50" s="126"/>
      <c r="D50" s="126"/>
      <c r="E50" s="126"/>
      <c r="F50" s="126"/>
      <c r="G50" s="126"/>
      <c r="H50" s="126"/>
    </row>
    <row r="51" spans="2:11" x14ac:dyDescent="0.2">
      <c r="B51" s="121">
        <f>F18</f>
        <v>44.230949884907552</v>
      </c>
      <c r="C51" s="117">
        <v>0</v>
      </c>
      <c r="D51" s="117">
        <f>C51+0.5%</f>
        <v>5.0000000000000001E-3</v>
      </c>
      <c r="E51" s="117">
        <f t="shared" ref="E51:H51" si="21">D51+0.5%</f>
        <v>0.01</v>
      </c>
      <c r="F51" s="117">
        <f t="shared" si="21"/>
        <v>1.4999999999999999E-2</v>
      </c>
      <c r="G51" s="117">
        <f t="shared" si="21"/>
        <v>0.02</v>
      </c>
      <c r="H51" s="117">
        <f t="shared" si="21"/>
        <v>2.5000000000000001E-2</v>
      </c>
      <c r="I51" s="116"/>
      <c r="J51" s="116"/>
      <c r="K51" s="116"/>
    </row>
    <row r="52" spans="2:11" x14ac:dyDescent="0.2">
      <c r="B52" s="117">
        <v>6.6600000000000006E-2</v>
      </c>
      <c r="C52" s="6">
        <f t="dataTable" ref="C52:H57" dt2D="1" dtr="1" r1="F5" r2="C4"/>
        <v>56.439012801376499</v>
      </c>
      <c r="D52" s="6">
        <v>60.07292625090119</v>
      </c>
      <c r="E52" s="5">
        <v>64.34887387878716</v>
      </c>
      <c r="F52" s="6">
        <v>69.453493527581273</v>
      </c>
      <c r="G52" s="6">
        <v>75.653525118176674</v>
      </c>
      <c r="H52" s="6">
        <v>83.343948918049804</v>
      </c>
    </row>
    <row r="53" spans="2:11" x14ac:dyDescent="0.2">
      <c r="B53" s="117">
        <f>B52+1%</f>
        <v>7.6600000000000001E-2</v>
      </c>
      <c r="C53" s="6">
        <v>46.073641415272398</v>
      </c>
      <c r="D53" s="6">
        <v>48.57290788961545</v>
      </c>
      <c r="E53" s="5">
        <v>51.44743960034635</v>
      </c>
      <c r="F53" s="6">
        <v>54.788616069312795</v>
      </c>
      <c r="G53" s="6">
        <v>58.720106402054213</v>
      </c>
      <c r="H53" s="6">
        <v>63.413513465947069</v>
      </c>
    </row>
    <row r="54" spans="2:11" x14ac:dyDescent="0.2">
      <c r="B54" s="117">
        <f t="shared" ref="B54:B57" si="22">B53+1%</f>
        <v>8.6599999999999996E-2</v>
      </c>
      <c r="C54" s="5">
        <v>38.116581931716738</v>
      </c>
      <c r="D54" s="5">
        <v>39.901459278917166</v>
      </c>
      <c r="E54" s="5">
        <v>41.919349334629381</v>
      </c>
      <c r="F54" s="5">
        <v>44.219067610413141</v>
      </c>
      <c r="G54" s="5">
        <v>46.864088930608887</v>
      </c>
      <c r="H54" s="5">
        <v>49.938496828758481</v>
      </c>
    </row>
    <row r="55" spans="2:11" x14ac:dyDescent="0.2">
      <c r="B55" s="117">
        <f t="shared" si="22"/>
        <v>9.6599999999999991E-2</v>
      </c>
      <c r="C55" s="6">
        <v>31.819109806821071</v>
      </c>
      <c r="D55" s="6">
        <v>33.131723591460904</v>
      </c>
      <c r="E55" s="5">
        <v>34.595909406659601</v>
      </c>
      <c r="F55" s="6">
        <v>36.239529758034607</v>
      </c>
      <c r="G55" s="6">
        <v>38.097721956847614</v>
      </c>
      <c r="H55" s="6">
        <v>40.215438205774149</v>
      </c>
    </row>
    <row r="56" spans="2:11" x14ac:dyDescent="0.2">
      <c r="B56" s="117">
        <f t="shared" si="22"/>
        <v>0.10659999999999999</v>
      </c>
      <c r="C56" s="6">
        <v>26.713502763367753</v>
      </c>
      <c r="D56" s="6">
        <v>27.701775533074265</v>
      </c>
      <c r="E56" s="5">
        <v>28.792353972522655</v>
      </c>
      <c r="F56" s="6">
        <v>30.001991193570198</v>
      </c>
      <c r="G56" s="6">
        <v>31.351309387025093</v>
      </c>
      <c r="H56" s="6">
        <v>32.865985202226909</v>
      </c>
    </row>
    <row r="57" spans="2:11" x14ac:dyDescent="0.2">
      <c r="B57" s="117">
        <f t="shared" si="22"/>
        <v>0.11659999999999998</v>
      </c>
      <c r="C57" s="6">
        <v>22.492537946470172</v>
      </c>
      <c r="D57" s="6">
        <v>23.251119675346775</v>
      </c>
      <c r="E57" s="5">
        <v>24.080862917251217</v>
      </c>
      <c r="F57" s="6">
        <v>24.99227380107537</v>
      </c>
      <c r="G57" s="6">
        <v>25.998033637676357</v>
      </c>
      <c r="H57" s="6">
        <v>27.113592583076574</v>
      </c>
    </row>
    <row r="60" spans="2:11" x14ac:dyDescent="0.2">
      <c r="B60" s="126" t="s">
        <v>276</v>
      </c>
      <c r="C60" s="126"/>
      <c r="D60" s="126"/>
      <c r="E60" s="126"/>
      <c r="F60" s="126"/>
      <c r="G60" s="126"/>
      <c r="H60" s="126"/>
    </row>
    <row r="61" spans="2:11" x14ac:dyDescent="0.2">
      <c r="B61" s="121">
        <f>I18</f>
        <v>44.155475528597783</v>
      </c>
      <c r="C61" s="122">
        <v>4</v>
      </c>
      <c r="D61" s="122">
        <v>5</v>
      </c>
      <c r="E61" s="122">
        <v>6</v>
      </c>
      <c r="F61" s="122">
        <f>E61+1</f>
        <v>7</v>
      </c>
      <c r="G61" s="122">
        <f t="shared" ref="G61:H61" si="23">F61+1</f>
        <v>8</v>
      </c>
      <c r="H61" s="122">
        <f t="shared" si="23"/>
        <v>9</v>
      </c>
    </row>
    <row r="62" spans="2:11" x14ac:dyDescent="0.2">
      <c r="B62" s="117">
        <v>6.6600000000000006E-2</v>
      </c>
      <c r="C62" s="6">
        <f t="dataTable" ref="C62:H67" dt2D="1" dtr="1" r1="I5" r2="C4" ca="1"/>
        <v>40.828131407588764</v>
      </c>
      <c r="D62" s="6">
        <v>47.418991993452821</v>
      </c>
      <c r="E62" s="5">
        <v>54.009852579316863</v>
      </c>
      <c r="F62" s="6">
        <v>60.600713165180899</v>
      </c>
      <c r="G62" s="6">
        <v>67.19157375104497</v>
      </c>
      <c r="H62" s="6">
        <v>73.78243433690902</v>
      </c>
    </row>
    <row r="63" spans="2:11" x14ac:dyDescent="0.2">
      <c r="B63" s="117">
        <f>B62+1%</f>
        <v>7.6600000000000001E-2</v>
      </c>
      <c r="C63" s="6">
        <v>36.845098683321034</v>
      </c>
      <c r="D63" s="6">
        <v>42.84873206790531</v>
      </c>
      <c r="E63" s="5">
        <v>48.852365452489579</v>
      </c>
      <c r="F63" s="6">
        <v>54.855998837073841</v>
      </c>
      <c r="G63" s="6">
        <v>60.859632221658117</v>
      </c>
      <c r="H63" s="6">
        <v>66.863265606242393</v>
      </c>
    </row>
    <row r="64" spans="2:11" x14ac:dyDescent="0.2">
      <c r="B64" s="117">
        <f t="shared" ref="B64:B67" si="24">B63+1%</f>
        <v>8.6599999999999996E-2</v>
      </c>
      <c r="C64" s="5">
        <v>33.202714308400587</v>
      </c>
      <c r="D64" s="5">
        <v>38.676161240761957</v>
      </c>
      <c r="E64" s="5">
        <v>44.149608173123355</v>
      </c>
      <c r="F64" s="5">
        <v>49.623055105484717</v>
      </c>
      <c r="G64" s="5">
        <v>55.096502037846101</v>
      </c>
      <c r="H64" s="5">
        <v>60.569948970207484</v>
      </c>
    </row>
    <row r="65" spans="2:8" x14ac:dyDescent="0.2">
      <c r="B65" s="117">
        <f t="shared" si="24"/>
        <v>9.6599999999999991E-2</v>
      </c>
      <c r="C65" s="6">
        <v>29.867584388319511</v>
      </c>
      <c r="D65" s="6">
        <v>34.861894474192397</v>
      </c>
      <c r="E65" s="5">
        <v>39.856204560065279</v>
      </c>
      <c r="F65" s="6">
        <v>44.850514645938169</v>
      </c>
      <c r="G65" s="6">
        <v>49.844824731811059</v>
      </c>
      <c r="H65" s="6">
        <v>54.839134817683949</v>
      </c>
    </row>
    <row r="66" spans="2:8" x14ac:dyDescent="0.2">
      <c r="B66" s="117">
        <f t="shared" si="24"/>
        <v>0.10659999999999999</v>
      </c>
      <c r="C66" s="6">
        <v>26.809922491765928</v>
      </c>
      <c r="D66" s="6">
        <v>31.370829945200249</v>
      </c>
      <c r="E66" s="5">
        <v>35.931737398634581</v>
      </c>
      <c r="F66" s="6">
        <v>40.492644852068892</v>
      </c>
      <c r="G66" s="6">
        <v>45.053552305503217</v>
      </c>
      <c r="H66" s="6">
        <v>49.614459758937542</v>
      </c>
    </row>
    <row r="67" spans="2:8" x14ac:dyDescent="0.2">
      <c r="B67" s="117">
        <f t="shared" si="24"/>
        <v>0.11659999999999998</v>
      </c>
      <c r="C67" s="6">
        <v>24.003127871950525</v>
      </c>
      <c r="D67" s="6">
        <v>28.17164589526174</v>
      </c>
      <c r="E67" s="5">
        <v>32.340163918572962</v>
      </c>
      <c r="F67" s="6">
        <v>36.50868194188417</v>
      </c>
      <c r="G67" s="6">
        <v>40.677199965195392</v>
      </c>
      <c r="H67" s="6">
        <v>44.845717988506614</v>
      </c>
    </row>
  </sheetData>
  <mergeCells count="4">
    <mergeCell ref="C23:F23"/>
    <mergeCell ref="G23:P23"/>
    <mergeCell ref="B50:H50"/>
    <mergeCell ref="B60:H6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AE39E-CE9D-8741-BB36-2D685E6E4DA2}">
  <dimension ref="B2:P38"/>
  <sheetViews>
    <sheetView showGridLines="0" workbookViewId="0">
      <selection activeCell="C20" sqref="C20"/>
    </sheetView>
  </sheetViews>
  <sheetFormatPr baseColWidth="10" defaultRowHeight="16" x14ac:dyDescent="0.2"/>
  <cols>
    <col min="2" max="2" width="37.83203125" customWidth="1"/>
    <col min="3" max="3" width="18.1640625" customWidth="1"/>
    <col min="4" max="4" width="19.1640625" customWidth="1"/>
    <col min="5" max="5" width="24.33203125" customWidth="1"/>
    <col min="6" max="6" width="24.6640625" customWidth="1"/>
    <col min="8" max="8" width="23.5" customWidth="1"/>
  </cols>
  <sheetData>
    <row r="2" spans="2:8" ht="19" x14ac:dyDescent="0.25">
      <c r="B2" s="1" t="s">
        <v>362</v>
      </c>
    </row>
    <row r="4" spans="2:8" x14ac:dyDescent="0.2">
      <c r="B4" s="10" t="s">
        <v>313</v>
      </c>
      <c r="C4" s="10" t="s">
        <v>314</v>
      </c>
      <c r="E4" t="s">
        <v>341</v>
      </c>
      <c r="F4" s="26">
        <v>0.05</v>
      </c>
    </row>
    <row r="5" spans="2:8" x14ac:dyDescent="0.2">
      <c r="B5" t="s">
        <v>316</v>
      </c>
      <c r="C5" s="25">
        <v>0.626</v>
      </c>
      <c r="E5" t="s">
        <v>342</v>
      </c>
      <c r="F5" s="26">
        <v>4.1000000000000002E-2</v>
      </c>
    </row>
    <row r="6" spans="2:8" x14ac:dyDescent="0.2">
      <c r="B6" t="s">
        <v>315</v>
      </c>
      <c r="C6" s="25">
        <v>0.39300000000000002</v>
      </c>
    </row>
    <row r="7" spans="2:8" x14ac:dyDescent="0.2">
      <c r="C7" s="25"/>
    </row>
    <row r="8" spans="2:8" x14ac:dyDescent="0.2">
      <c r="B8" s="118" t="s">
        <v>316</v>
      </c>
      <c r="C8" s="110"/>
      <c r="D8" s="110"/>
      <c r="F8" s="118" t="s">
        <v>315</v>
      </c>
      <c r="G8" s="110"/>
      <c r="H8" s="110"/>
    </row>
    <row r="9" spans="2:8" x14ac:dyDescent="0.2">
      <c r="B9" s="10" t="s">
        <v>322</v>
      </c>
      <c r="C9" s="10" t="s">
        <v>323</v>
      </c>
      <c r="D9" s="10" t="s">
        <v>321</v>
      </c>
      <c r="F9" s="10" t="s">
        <v>322</v>
      </c>
      <c r="G9" s="10" t="s">
        <v>323</v>
      </c>
      <c r="H9" s="10" t="s">
        <v>321</v>
      </c>
    </row>
    <row r="10" spans="2:8" x14ac:dyDescent="0.2">
      <c r="B10" t="s">
        <v>317</v>
      </c>
      <c r="C10" t="s">
        <v>324</v>
      </c>
      <c r="D10">
        <v>0.59</v>
      </c>
      <c r="F10" t="s">
        <v>329</v>
      </c>
      <c r="G10" t="s">
        <v>333</v>
      </c>
      <c r="H10">
        <v>1.61</v>
      </c>
    </row>
    <row r="11" spans="2:8" x14ac:dyDescent="0.2">
      <c r="B11" t="s">
        <v>318</v>
      </c>
      <c r="C11" t="s">
        <v>325</v>
      </c>
      <c r="D11">
        <v>0.32</v>
      </c>
      <c r="F11" t="s">
        <v>330</v>
      </c>
      <c r="G11" t="s">
        <v>332</v>
      </c>
      <c r="H11">
        <v>0.51</v>
      </c>
    </row>
    <row r="12" spans="2:8" x14ac:dyDescent="0.2">
      <c r="B12" t="s">
        <v>319</v>
      </c>
      <c r="C12" t="s">
        <v>326</v>
      </c>
      <c r="D12">
        <v>1.07</v>
      </c>
      <c r="F12" t="s">
        <v>331</v>
      </c>
      <c r="G12" t="s">
        <v>334</v>
      </c>
      <c r="H12">
        <v>1.5</v>
      </c>
    </row>
    <row r="13" spans="2:8" x14ac:dyDescent="0.2">
      <c r="B13" t="s">
        <v>320</v>
      </c>
      <c r="C13" t="s">
        <v>327</v>
      </c>
      <c r="D13">
        <v>0.44</v>
      </c>
      <c r="F13" s="4" t="s">
        <v>328</v>
      </c>
      <c r="H13" s="4">
        <f>MEDIAN(H10:H12)</f>
        <v>1.5</v>
      </c>
    </row>
    <row r="14" spans="2:8" x14ac:dyDescent="0.2">
      <c r="B14" s="4" t="s">
        <v>328</v>
      </c>
      <c r="D14" s="4">
        <f>MEDIAN(D10:D13)</f>
        <v>0.51500000000000001</v>
      </c>
    </row>
    <row r="17" spans="2:16" x14ac:dyDescent="0.2">
      <c r="B17" s="10"/>
      <c r="C17" s="10" t="s">
        <v>336</v>
      </c>
      <c r="D17" s="10" t="s">
        <v>337</v>
      </c>
      <c r="E17" s="10" t="s">
        <v>267</v>
      </c>
      <c r="F17" s="10" t="s">
        <v>338</v>
      </c>
      <c r="G17" s="10" t="s">
        <v>339</v>
      </c>
    </row>
    <row r="18" spans="2:16" x14ac:dyDescent="0.2">
      <c r="B18" t="s">
        <v>335</v>
      </c>
      <c r="C18">
        <f>D14*C5+C6*H13</f>
        <v>0.91189000000000009</v>
      </c>
      <c r="D18" s="6">
        <f>'Comcast - Adjustment'!F75</f>
        <v>94193</v>
      </c>
      <c r="E18" s="6">
        <f>'Comcast - Adjustment'!G6</f>
        <v>90667.385123220884</v>
      </c>
      <c r="F18" s="25">
        <f>D18/(E18+D18)</f>
        <v>0.50953588535052841</v>
      </c>
      <c r="G18" s="25">
        <f>1-F18</f>
        <v>0.49046411464947159</v>
      </c>
    </row>
    <row r="20" spans="2:16" x14ac:dyDescent="0.2">
      <c r="B20" t="s">
        <v>340</v>
      </c>
      <c r="C20" s="134">
        <f>C18*(1+(1-Parent_Marginal_Rate)*(F18/G18))</f>
        <v>1.6602956938013687</v>
      </c>
    </row>
    <row r="21" spans="2:16" x14ac:dyDescent="0.2">
      <c r="B21" t="s">
        <v>343</v>
      </c>
      <c r="C21" s="25">
        <f>Risk_Free_Rate+(Equity_Risk_Premium*C20)</f>
        <v>0.12401478469006844</v>
      </c>
    </row>
    <row r="22" spans="2:16" x14ac:dyDescent="0.2">
      <c r="P22" s="4"/>
    </row>
    <row r="23" spans="2:16" x14ac:dyDescent="0.2">
      <c r="B23" t="s">
        <v>344</v>
      </c>
      <c r="C23" s="25">
        <f>Parent_Weighted_Interest</f>
        <v>6.4000000000000001E-2</v>
      </c>
      <c r="P23" s="4"/>
    </row>
    <row r="24" spans="2:16" x14ac:dyDescent="0.2">
      <c r="B24" t="s">
        <v>345</v>
      </c>
      <c r="C24" s="25">
        <f>C23*(1-Parent_Marginal_Rate)</f>
        <v>5.0560000000000001E-2</v>
      </c>
      <c r="P24" s="4"/>
    </row>
    <row r="26" spans="2:16" ht="20" x14ac:dyDescent="0.2">
      <c r="B26" s="106" t="s">
        <v>295</v>
      </c>
      <c r="C26" s="120">
        <f>C24*F18+C21*G18</f>
        <v>8.6586935939781978E-2</v>
      </c>
      <c r="P26" s="119"/>
    </row>
    <row r="28" spans="2:16" ht="20" x14ac:dyDescent="0.2">
      <c r="P28" s="119"/>
    </row>
    <row r="30" spans="2:16" ht="20" x14ac:dyDescent="0.2">
      <c r="P30" s="119"/>
    </row>
    <row r="32" spans="2:16" ht="20" x14ac:dyDescent="0.2">
      <c r="P32" s="119"/>
    </row>
    <row r="34" spans="16:16" ht="20" x14ac:dyDescent="0.2">
      <c r="P34" s="119"/>
    </row>
    <row r="36" spans="16:16" ht="20" x14ac:dyDescent="0.2">
      <c r="P36" s="119"/>
    </row>
    <row r="38" spans="16:16" ht="20" x14ac:dyDescent="0.2">
      <c r="P38" s="11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C76FA-E7DF-CC4C-B85E-660B7868DBBE}">
  <dimension ref="B3:H21"/>
  <sheetViews>
    <sheetView showGridLines="0" workbookViewId="0">
      <selection activeCell="F35" sqref="F35"/>
    </sheetView>
  </sheetViews>
  <sheetFormatPr baseColWidth="10" defaultRowHeight="16" x14ac:dyDescent="0.2"/>
  <cols>
    <col min="2" max="3" width="32.6640625" customWidth="1"/>
    <col min="4" max="4" width="36.83203125" customWidth="1"/>
    <col min="5" max="5" width="22.6640625" customWidth="1"/>
    <col min="6" max="6" width="27" customWidth="1"/>
    <col min="7" max="7" width="43.5" customWidth="1"/>
    <col min="8" max="8" width="36.6640625" customWidth="1"/>
  </cols>
  <sheetData>
    <row r="3" spans="2:8" ht="19" x14ac:dyDescent="0.25">
      <c r="B3" s="1" t="s">
        <v>348</v>
      </c>
      <c r="C3" s="1"/>
    </row>
    <row r="5" spans="2:8" x14ac:dyDescent="0.2">
      <c r="B5" s="10" t="s">
        <v>349</v>
      </c>
      <c r="C5" s="10" t="s">
        <v>358</v>
      </c>
      <c r="D5" s="10" t="s">
        <v>347</v>
      </c>
      <c r="E5" s="10" t="s">
        <v>350</v>
      </c>
      <c r="F5" s="10" t="s">
        <v>351</v>
      </c>
    </row>
    <row r="6" spans="2:8" x14ac:dyDescent="0.2">
      <c r="B6" t="s">
        <v>357</v>
      </c>
      <c r="C6" s="114">
        <v>0.7</v>
      </c>
      <c r="D6" s="6">
        <f>C6*'Comcast - DFCF'!G47</f>
        <v>26850.895253648017</v>
      </c>
      <c r="E6" s="108">
        <v>6.5</v>
      </c>
      <c r="F6" s="6">
        <f>E6*D6</f>
        <v>174530.81914871212</v>
      </c>
    </row>
    <row r="7" spans="2:8" x14ac:dyDescent="0.2">
      <c r="B7" t="s">
        <v>356</v>
      </c>
      <c r="C7" s="114">
        <v>0.3</v>
      </c>
      <c r="D7" s="6">
        <f>C7*'Comcast - DFCF'!G47</f>
        <v>11507.526537277723</v>
      </c>
      <c r="E7" s="108">
        <v>9</v>
      </c>
      <c r="F7" s="6">
        <f t="shared" ref="F7" si="0">E7*D7</f>
        <v>103567.73883549951</v>
      </c>
    </row>
    <row r="8" spans="2:8" x14ac:dyDescent="0.2">
      <c r="B8" s="4" t="s">
        <v>352</v>
      </c>
      <c r="C8" s="4"/>
      <c r="E8" s="138">
        <f>AVERAGE(E6:E7)</f>
        <v>7.75</v>
      </c>
      <c r="F8" s="5">
        <f>SUM(F6:F7)</f>
        <v>278098.5579842116</v>
      </c>
    </row>
    <row r="10" spans="2:8" x14ac:dyDescent="0.2">
      <c r="E10" t="s">
        <v>359</v>
      </c>
      <c r="F10" s="6">
        <f>-'Comcast - Adjustment'!F75+'Comcast - Adjustment'!F49</f>
        <v>-84037.514361683425</v>
      </c>
    </row>
    <row r="11" spans="2:8" x14ac:dyDescent="0.2">
      <c r="E11" t="s">
        <v>61</v>
      </c>
      <c r="F11" s="6">
        <f>SUM(F8:F10)</f>
        <v>194061.04362252817</v>
      </c>
    </row>
    <row r="12" spans="2:8" x14ac:dyDescent="0.2">
      <c r="D12" s="123"/>
      <c r="E12" s="123" t="s">
        <v>306</v>
      </c>
      <c r="F12" s="135">
        <f>F11/Parent_Shares</f>
        <v>53.849744876239782</v>
      </c>
      <c r="G12" s="123"/>
      <c r="H12" s="123"/>
    </row>
    <row r="13" spans="2:8" x14ac:dyDescent="0.2">
      <c r="D13" s="123"/>
      <c r="E13" s="124"/>
      <c r="F13" s="124"/>
      <c r="G13" s="124"/>
      <c r="H13" s="124"/>
    </row>
    <row r="14" spans="2:8" x14ac:dyDescent="0.2">
      <c r="D14" s="123"/>
      <c r="E14" s="124" t="s">
        <v>353</v>
      </c>
      <c r="F14" s="136">
        <f>F12*(1-Parent_Implied_Discount)</f>
        <v>37.694821413367848</v>
      </c>
      <c r="G14" s="124"/>
      <c r="H14" s="124"/>
    </row>
    <row r="15" spans="2:8" x14ac:dyDescent="0.2">
      <c r="D15" s="123"/>
      <c r="E15" s="123" t="s">
        <v>355</v>
      </c>
      <c r="F15" s="137">
        <f>F14/Parent_Share_Price-1</f>
        <v>0.37924703305407426</v>
      </c>
      <c r="G15" s="124"/>
      <c r="H15" s="124"/>
    </row>
    <row r="16" spans="2:8" x14ac:dyDescent="0.2">
      <c r="D16" s="123"/>
      <c r="E16" s="124"/>
      <c r="F16" s="124"/>
      <c r="G16" s="124"/>
      <c r="H16" s="124"/>
    </row>
    <row r="17" spans="4:8" x14ac:dyDescent="0.2">
      <c r="D17" s="123"/>
      <c r="E17" s="124"/>
      <c r="F17" s="124"/>
      <c r="G17" s="124"/>
      <c r="H17" s="124"/>
    </row>
    <row r="18" spans="4:8" x14ac:dyDescent="0.2">
      <c r="D18" s="123"/>
      <c r="E18" s="123"/>
      <c r="F18" s="123"/>
      <c r="G18" s="123"/>
      <c r="H18" s="123"/>
    </row>
    <row r="19" spans="4:8" x14ac:dyDescent="0.2">
      <c r="D19" s="125"/>
      <c r="E19" s="124"/>
      <c r="F19" s="124"/>
      <c r="G19" s="125"/>
      <c r="H19" s="124"/>
    </row>
    <row r="20" spans="4:8" x14ac:dyDescent="0.2">
      <c r="D20" s="123"/>
      <c r="E20" s="124"/>
      <c r="F20" s="124"/>
      <c r="G20" s="123"/>
      <c r="H20" s="124"/>
    </row>
    <row r="21" spans="4:8" x14ac:dyDescent="0.2">
      <c r="D21" s="123"/>
      <c r="E21" s="124"/>
      <c r="F21" s="124"/>
      <c r="G21" s="123"/>
      <c r="H21" s="12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B3E47-41BE-3449-B34B-F8449E81651D}">
  <dimension ref="B2:T161"/>
  <sheetViews>
    <sheetView showGridLines="0" topLeftCell="A82" zoomScale="90" workbookViewId="0">
      <selection activeCell="I95" sqref="I95"/>
    </sheetView>
  </sheetViews>
  <sheetFormatPr baseColWidth="10" defaultRowHeight="16" x14ac:dyDescent="0.2"/>
  <cols>
    <col min="1" max="1" width="6.83203125" customWidth="1"/>
    <col min="2" max="2" width="37.5" customWidth="1"/>
    <col min="3" max="3" width="19" customWidth="1"/>
    <col min="4" max="4" width="18.33203125" customWidth="1"/>
    <col min="5" max="5" width="17" customWidth="1"/>
    <col min="6" max="6" width="14.1640625" customWidth="1"/>
    <col min="7" max="7" width="13.1640625" customWidth="1"/>
    <col min="8" max="8" width="13.33203125" customWidth="1"/>
    <col min="9" max="9" width="14.5" customWidth="1"/>
    <col min="10" max="10" width="13.83203125" customWidth="1"/>
    <col min="18" max="18" width="41.33203125" customWidth="1"/>
    <col min="19" max="19" width="14" customWidth="1"/>
    <col min="20" max="20" width="15" customWidth="1"/>
  </cols>
  <sheetData>
    <row r="2" spans="2:20" ht="19" x14ac:dyDescent="0.25">
      <c r="B2" s="1" t="s">
        <v>220</v>
      </c>
    </row>
    <row r="3" spans="2:20" x14ac:dyDescent="0.2">
      <c r="R3" s="2"/>
      <c r="S3" s="126" t="s">
        <v>108</v>
      </c>
      <c r="T3" s="126"/>
    </row>
    <row r="4" spans="2:20" x14ac:dyDescent="0.2">
      <c r="B4" s="2"/>
      <c r="C4" s="126" t="s">
        <v>15</v>
      </c>
      <c r="D4" s="126"/>
      <c r="E4" s="127"/>
      <c r="F4" s="128" t="s">
        <v>125</v>
      </c>
      <c r="G4" s="126"/>
      <c r="H4" s="126"/>
      <c r="I4" s="126"/>
      <c r="J4" s="126"/>
      <c r="R4" s="10" t="s">
        <v>121</v>
      </c>
      <c r="S4" s="10" t="s">
        <v>109</v>
      </c>
      <c r="T4" s="10" t="s">
        <v>110</v>
      </c>
    </row>
    <row r="5" spans="2:20" x14ac:dyDescent="0.2">
      <c r="B5" s="10" t="s">
        <v>0</v>
      </c>
      <c r="C5" s="10">
        <v>2022</v>
      </c>
      <c r="D5" s="10">
        <v>2023</v>
      </c>
      <c r="E5" s="10">
        <v>2024</v>
      </c>
      <c r="F5" s="22">
        <v>2025</v>
      </c>
      <c r="G5" s="21">
        <f>F5+1</f>
        <v>2026</v>
      </c>
      <c r="H5" s="21">
        <f t="shared" ref="H5:J5" si="0">G5+1</f>
        <v>2027</v>
      </c>
      <c r="I5" s="21">
        <f t="shared" si="0"/>
        <v>2028</v>
      </c>
      <c r="J5" s="21">
        <f t="shared" si="0"/>
        <v>2029</v>
      </c>
      <c r="R5" s="7" t="str">
        <f>B6</f>
        <v>(+) Revenue</v>
      </c>
      <c r="S5" s="6">
        <v>5339</v>
      </c>
      <c r="T5" s="6">
        <v>5078</v>
      </c>
    </row>
    <row r="6" spans="2:20" x14ac:dyDescent="0.2">
      <c r="B6" s="7" t="s">
        <v>4</v>
      </c>
      <c r="C6" s="3">
        <v>7834</v>
      </c>
      <c r="D6" s="3">
        <v>7445</v>
      </c>
      <c r="E6" s="3">
        <v>7062</v>
      </c>
      <c r="F6" s="6">
        <f>F94</f>
        <v>6638.28</v>
      </c>
      <c r="G6" s="6">
        <f t="shared" ref="G6:J6" si="1">G94</f>
        <v>6903.8112000000001</v>
      </c>
      <c r="H6" s="6">
        <f t="shared" si="1"/>
        <v>7249.0017600000001</v>
      </c>
      <c r="I6" s="6">
        <f t="shared" si="1"/>
        <v>6814.0616543999995</v>
      </c>
      <c r="J6" s="6">
        <f t="shared" si="1"/>
        <v>6405.2179551359995</v>
      </c>
      <c r="R6" s="7" t="str">
        <f t="shared" ref="R6" si="2">B7</f>
        <v>(-) Cost of Good Sold</v>
      </c>
      <c r="S6" s="6">
        <v>-2395</v>
      </c>
      <c r="T6" s="6">
        <v>-2227</v>
      </c>
    </row>
    <row r="7" spans="2:20" x14ac:dyDescent="0.2">
      <c r="B7" s="7" t="s">
        <v>5</v>
      </c>
      <c r="C7" s="3">
        <v>-3161</v>
      </c>
      <c r="D7" s="3">
        <v>-3154</v>
      </c>
      <c r="E7" s="3">
        <v>-3064</v>
      </c>
      <c r="F7" s="6">
        <f>F8-F6</f>
        <v>-2946.5427999999997</v>
      </c>
      <c r="G7" s="6">
        <f t="shared" ref="G7:J7" si="3">G8-G6</f>
        <v>-3133.4426239999998</v>
      </c>
      <c r="H7" s="6">
        <f t="shared" si="3"/>
        <v>-3362.6047727999999</v>
      </c>
      <c r="I7" s="6">
        <f t="shared" si="3"/>
        <v>-3228.9891029759997</v>
      </c>
      <c r="J7" s="6">
        <f t="shared" si="3"/>
        <v>-3099.3019363487997</v>
      </c>
      <c r="R7" s="4" t="s">
        <v>6</v>
      </c>
      <c r="S7" s="5">
        <f>SUM(S5:S6)</f>
        <v>2944</v>
      </c>
      <c r="T7" s="5">
        <f>SUM(T5:T6)</f>
        <v>2851</v>
      </c>
    </row>
    <row r="8" spans="2:20" x14ac:dyDescent="0.2">
      <c r="B8" s="8" t="s">
        <v>6</v>
      </c>
      <c r="C8" s="9">
        <f>SUM(C6:C7)</f>
        <v>4673</v>
      </c>
      <c r="D8" s="9">
        <f>SUM(D6:D7)</f>
        <v>4291</v>
      </c>
      <c r="E8" s="9">
        <f>SUM(E6:E7)</f>
        <v>3998</v>
      </c>
      <c r="F8" s="9">
        <f>F97</f>
        <v>3691.7372</v>
      </c>
      <c r="G8" s="9">
        <f t="shared" ref="G8:J8" si="4">G97</f>
        <v>3770.3685760000003</v>
      </c>
      <c r="H8" s="9">
        <f t="shared" si="4"/>
        <v>3886.3969872000002</v>
      </c>
      <c r="I8" s="9">
        <f t="shared" si="4"/>
        <v>3585.0725514239998</v>
      </c>
      <c r="J8" s="9">
        <f t="shared" si="4"/>
        <v>3305.9160187871998</v>
      </c>
    </row>
    <row r="10" spans="2:20" x14ac:dyDescent="0.2">
      <c r="B10" s="4" t="s">
        <v>2</v>
      </c>
      <c r="R10" s="4" t="s">
        <v>2</v>
      </c>
    </row>
    <row r="11" spans="2:20" x14ac:dyDescent="0.2">
      <c r="B11" s="7" t="s">
        <v>7</v>
      </c>
      <c r="C11" s="6">
        <v>-1271</v>
      </c>
      <c r="D11" s="6">
        <v>-1231</v>
      </c>
      <c r="E11" s="6">
        <v>-1167</v>
      </c>
      <c r="F11" s="6">
        <f>-F100</f>
        <v>-1116.8948399999999</v>
      </c>
      <c r="G11" s="6">
        <f t="shared" ref="G11:J11" si="5">-G100</f>
        <v>-1182.2820672</v>
      </c>
      <c r="H11" s="6">
        <f t="shared" si="5"/>
        <v>-1263.1431758400001</v>
      </c>
      <c r="I11" s="6">
        <f t="shared" si="5"/>
        <v>-1207.7967702527999</v>
      </c>
      <c r="J11" s="6">
        <f t="shared" si="5"/>
        <v>-1154.54461790304</v>
      </c>
      <c r="R11" s="7" t="s">
        <v>7</v>
      </c>
      <c r="S11" s="6">
        <v>-868</v>
      </c>
      <c r="T11" s="6">
        <v>-1034</v>
      </c>
    </row>
    <row r="12" spans="2:20" x14ac:dyDescent="0.2">
      <c r="B12" s="7" t="s">
        <v>8</v>
      </c>
      <c r="C12" s="6">
        <v>-992</v>
      </c>
      <c r="D12" s="6">
        <v>-991</v>
      </c>
      <c r="E12" s="6">
        <v>-989</v>
      </c>
      <c r="F12" s="6">
        <f>-F103</f>
        <v>-949.57483999999999</v>
      </c>
      <c r="G12" s="6">
        <f t="shared" ref="G12:J12" si="6">-G103</f>
        <v>-1008.2692672000002</v>
      </c>
      <c r="H12" s="6">
        <f t="shared" si="6"/>
        <v>-1080.4297358400001</v>
      </c>
      <c r="I12" s="6">
        <f t="shared" si="6"/>
        <v>-1036.0461366528</v>
      </c>
      <c r="J12" s="6">
        <f t="shared" si="6"/>
        <v>-993.09902231904005</v>
      </c>
      <c r="R12" s="7" t="s">
        <v>8</v>
      </c>
      <c r="S12" s="6">
        <v>-745</v>
      </c>
      <c r="T12" s="6">
        <v>-744</v>
      </c>
    </row>
    <row r="13" spans="2:20" x14ac:dyDescent="0.2">
      <c r="B13" s="8" t="s">
        <v>71</v>
      </c>
      <c r="C13" s="9">
        <f>SUM(C11:C12)</f>
        <v>-2263</v>
      </c>
      <c r="D13" s="9">
        <f t="shared" ref="D13:J13" si="7">SUM(D11:D12)</f>
        <v>-2222</v>
      </c>
      <c r="E13" s="9">
        <f t="shared" si="7"/>
        <v>-2156</v>
      </c>
      <c r="F13" s="9">
        <f t="shared" si="7"/>
        <v>-2066.4696800000002</v>
      </c>
      <c r="G13" s="9">
        <f t="shared" si="7"/>
        <v>-2190.5513344000001</v>
      </c>
      <c r="H13" s="9">
        <f t="shared" si="7"/>
        <v>-2343.5729116800003</v>
      </c>
      <c r="I13" s="9">
        <f t="shared" si="7"/>
        <v>-2243.8429069056001</v>
      </c>
      <c r="J13" s="9">
        <f t="shared" si="7"/>
        <v>-2147.6436402220802</v>
      </c>
      <c r="R13" s="16" t="s">
        <v>71</v>
      </c>
      <c r="S13" s="17">
        <f>SUM(S11:S12)</f>
        <v>-1613</v>
      </c>
      <c r="T13" s="17">
        <f>SUM(T11:T12)</f>
        <v>-1778</v>
      </c>
    </row>
    <row r="14" spans="2:20" x14ac:dyDescent="0.2">
      <c r="B14" s="4"/>
      <c r="C14" s="5"/>
      <c r="D14" s="5"/>
      <c r="E14" s="5"/>
      <c r="S14" s="6"/>
      <c r="T14" s="6"/>
    </row>
    <row r="15" spans="2:20" x14ac:dyDescent="0.2">
      <c r="B15" s="4" t="s">
        <v>3</v>
      </c>
      <c r="C15" s="5">
        <f>C8+C13</f>
        <v>2410</v>
      </c>
      <c r="D15" s="5">
        <f t="shared" ref="D15:J15" si="8">D8+D13</f>
        <v>2069</v>
      </c>
      <c r="E15" s="5">
        <f t="shared" si="8"/>
        <v>1842</v>
      </c>
      <c r="F15" s="5">
        <f t="shared" si="8"/>
        <v>1625.2675199999999</v>
      </c>
      <c r="G15" s="5">
        <f t="shared" si="8"/>
        <v>1579.8172416000002</v>
      </c>
      <c r="H15" s="5">
        <f t="shared" si="8"/>
        <v>1542.82407552</v>
      </c>
      <c r="I15" s="5">
        <f t="shared" si="8"/>
        <v>1341.2296445183997</v>
      </c>
      <c r="J15" s="5">
        <f t="shared" si="8"/>
        <v>1158.2723785651197</v>
      </c>
      <c r="R15" s="4" t="s">
        <v>3</v>
      </c>
      <c r="S15" s="5">
        <f>S13+S7</f>
        <v>1331</v>
      </c>
      <c r="T15" s="5">
        <f>T13+T7</f>
        <v>1073</v>
      </c>
    </row>
    <row r="16" spans="2:20" x14ac:dyDescent="0.2">
      <c r="B16" s="7" t="s">
        <v>12</v>
      </c>
      <c r="C16" s="6">
        <v>-61</v>
      </c>
      <c r="D16" s="6">
        <v>0</v>
      </c>
      <c r="E16" s="6">
        <v>1</v>
      </c>
      <c r="F16" s="6">
        <f>F106</f>
        <v>0</v>
      </c>
      <c r="G16" s="6">
        <f t="shared" ref="G16:J16" si="9">G106</f>
        <v>0</v>
      </c>
      <c r="H16" s="6">
        <f t="shared" si="9"/>
        <v>0</v>
      </c>
      <c r="I16" s="6">
        <f t="shared" si="9"/>
        <v>0</v>
      </c>
      <c r="J16" s="6">
        <f t="shared" si="9"/>
        <v>0</v>
      </c>
      <c r="R16" s="7" t="s">
        <v>12</v>
      </c>
      <c r="S16" s="6">
        <v>0</v>
      </c>
      <c r="T16" s="6">
        <v>-40</v>
      </c>
    </row>
    <row r="17" spans="2:20" x14ac:dyDescent="0.2">
      <c r="B17" s="8" t="s">
        <v>9</v>
      </c>
      <c r="C17" s="9">
        <f>C16+C15</f>
        <v>2349</v>
      </c>
      <c r="D17" s="9">
        <f t="shared" ref="D17:J17" si="10">D16+D15</f>
        <v>2069</v>
      </c>
      <c r="E17" s="9">
        <f t="shared" si="10"/>
        <v>1843</v>
      </c>
      <c r="F17" s="9">
        <f t="shared" si="10"/>
        <v>1625.2675199999999</v>
      </c>
      <c r="G17" s="9">
        <f t="shared" si="10"/>
        <v>1579.8172416000002</v>
      </c>
      <c r="H17" s="9">
        <f t="shared" si="10"/>
        <v>1542.82407552</v>
      </c>
      <c r="I17" s="9">
        <f t="shared" si="10"/>
        <v>1341.2296445183997</v>
      </c>
      <c r="J17" s="9">
        <f t="shared" si="10"/>
        <v>1158.2723785651197</v>
      </c>
      <c r="R17" s="16" t="s">
        <v>9</v>
      </c>
      <c r="S17" s="17">
        <f>SUM(S15:S16)</f>
        <v>1331</v>
      </c>
      <c r="T17" s="17">
        <f>SUM(T15:T16)</f>
        <v>1033</v>
      </c>
    </row>
    <row r="18" spans="2:20" x14ac:dyDescent="0.2">
      <c r="B18" s="7" t="s">
        <v>10</v>
      </c>
      <c r="C18" s="6">
        <v>-591</v>
      </c>
      <c r="D18" s="6">
        <v>-530</v>
      </c>
      <c r="E18" s="6">
        <v>-478</v>
      </c>
      <c r="F18" s="6">
        <f>-F108</f>
        <v>-406.31687999999997</v>
      </c>
      <c r="G18" s="6">
        <f t="shared" ref="G18:J18" si="11">-G108</f>
        <v>-394.95431040000005</v>
      </c>
      <c r="H18" s="6">
        <f t="shared" si="11"/>
        <v>-385.70601887999999</v>
      </c>
      <c r="I18" s="6">
        <f t="shared" si="11"/>
        <v>-335.30741112959993</v>
      </c>
      <c r="J18" s="6">
        <f t="shared" si="11"/>
        <v>-289.56809464127991</v>
      </c>
      <c r="R18" s="7" t="s">
        <v>10</v>
      </c>
      <c r="S18" s="6">
        <v>-345</v>
      </c>
      <c r="T18" s="6">
        <v>-283</v>
      </c>
    </row>
    <row r="19" spans="2:20" x14ac:dyDescent="0.2">
      <c r="B19" s="8" t="s">
        <v>11</v>
      </c>
      <c r="C19" s="9">
        <f>SUM(C17:C18)</f>
        <v>1758</v>
      </c>
      <c r="D19" s="9">
        <f>SUM(D17:D18)</f>
        <v>1539</v>
      </c>
      <c r="E19" s="9">
        <f>SUM(E17:E18)</f>
        <v>1365</v>
      </c>
      <c r="F19" s="9">
        <f t="shared" ref="F19:J19" si="12">SUM(F17:F18)</f>
        <v>1218.95064</v>
      </c>
      <c r="G19" s="9">
        <f t="shared" si="12"/>
        <v>1184.8629312000003</v>
      </c>
      <c r="H19" s="9">
        <f t="shared" si="12"/>
        <v>1157.1180566399998</v>
      </c>
      <c r="I19" s="9">
        <f t="shared" si="12"/>
        <v>1005.9222333887998</v>
      </c>
      <c r="J19" s="9">
        <f t="shared" si="12"/>
        <v>868.70428392383974</v>
      </c>
      <c r="R19" s="16" t="s">
        <v>11</v>
      </c>
      <c r="S19" s="17">
        <f>SUM(S17:S18)</f>
        <v>986</v>
      </c>
      <c r="T19" s="17">
        <f>SUM(T17:T18)</f>
        <v>750</v>
      </c>
    </row>
    <row r="20" spans="2:20" x14ac:dyDescent="0.2">
      <c r="B20" s="7" t="s">
        <v>13</v>
      </c>
      <c r="C20" s="6">
        <v>-6</v>
      </c>
      <c r="D20" s="6">
        <v>0</v>
      </c>
      <c r="E20" s="6">
        <v>2</v>
      </c>
      <c r="F20" s="6">
        <f>F111</f>
        <v>0</v>
      </c>
      <c r="G20" s="6">
        <f t="shared" ref="G20:J20" si="13">G111</f>
        <v>0</v>
      </c>
      <c r="H20" s="6">
        <f t="shared" si="13"/>
        <v>0</v>
      </c>
      <c r="I20" s="6">
        <f t="shared" si="13"/>
        <v>0</v>
      </c>
      <c r="J20" s="6">
        <f t="shared" si="13"/>
        <v>0</v>
      </c>
      <c r="R20" s="7" t="str">
        <f>B20</f>
        <v>(-) Attributable to Non-controlling</v>
      </c>
      <c r="S20" s="6">
        <v>1</v>
      </c>
      <c r="T20" s="6">
        <v>0</v>
      </c>
    </row>
    <row r="21" spans="2:20" x14ac:dyDescent="0.2">
      <c r="B21" s="8" t="s">
        <v>14</v>
      </c>
      <c r="C21" s="9">
        <f>SUM(C19:C20)</f>
        <v>1752</v>
      </c>
      <c r="D21" s="9">
        <f t="shared" ref="D21:J21" si="14">SUM(D19:D20)</f>
        <v>1539</v>
      </c>
      <c r="E21" s="9">
        <f t="shared" si="14"/>
        <v>1367</v>
      </c>
      <c r="F21" s="9">
        <f t="shared" si="14"/>
        <v>1218.95064</v>
      </c>
      <c r="G21" s="9">
        <f t="shared" si="14"/>
        <v>1184.8629312000003</v>
      </c>
      <c r="H21" s="9">
        <f t="shared" si="14"/>
        <v>1157.1180566399998</v>
      </c>
      <c r="I21" s="9">
        <f t="shared" si="14"/>
        <v>1005.9222333887998</v>
      </c>
      <c r="J21" s="9">
        <f t="shared" si="14"/>
        <v>868.70428392383974</v>
      </c>
      <c r="R21" s="16" t="s">
        <v>14</v>
      </c>
      <c r="S21" s="17">
        <f>SUM(S19:S20)</f>
        <v>987</v>
      </c>
      <c r="T21" s="17">
        <f>SUM(T19:T20)</f>
        <v>750</v>
      </c>
    </row>
    <row r="23" spans="2:20" x14ac:dyDescent="0.2">
      <c r="B23" s="2"/>
      <c r="C23" s="126" t="s">
        <v>15</v>
      </c>
      <c r="D23" s="126"/>
      <c r="E23" s="127"/>
      <c r="F23" s="128" t="s">
        <v>125</v>
      </c>
      <c r="G23" s="126"/>
      <c r="H23" s="126"/>
      <c r="I23" s="126"/>
      <c r="J23" s="126"/>
      <c r="R23" s="2"/>
      <c r="S23" s="126" t="s">
        <v>108</v>
      </c>
      <c r="T23" s="126"/>
    </row>
    <row r="24" spans="2:20" x14ac:dyDescent="0.2">
      <c r="B24" s="10" t="s">
        <v>16</v>
      </c>
      <c r="C24" s="10">
        <v>2022</v>
      </c>
      <c r="D24" s="10">
        <v>2023</v>
      </c>
      <c r="E24" s="10">
        <v>2024</v>
      </c>
      <c r="F24" s="22">
        <v>2025</v>
      </c>
      <c r="G24" s="21">
        <f>F24+1</f>
        <v>2026</v>
      </c>
      <c r="H24" s="21">
        <f t="shared" ref="H24:J24" si="15">G24+1</f>
        <v>2027</v>
      </c>
      <c r="I24" s="21">
        <f t="shared" si="15"/>
        <v>2028</v>
      </c>
      <c r="J24" s="21">
        <f t="shared" si="15"/>
        <v>2029</v>
      </c>
      <c r="R24" s="10" t="s">
        <v>16</v>
      </c>
      <c r="S24" s="10" t="str">
        <f>S4</f>
        <v>2024 9M</v>
      </c>
      <c r="T24" s="10" t="str">
        <f t="shared" ref="T24" si="16">T4</f>
        <v>2025 9M</v>
      </c>
    </row>
    <row r="25" spans="2:20" x14ac:dyDescent="0.2">
      <c r="B25" s="4" t="s">
        <v>11</v>
      </c>
      <c r="C25" s="5">
        <f>C19</f>
        <v>1758</v>
      </c>
      <c r="D25" s="5">
        <f t="shared" ref="D25:J25" si="17">D19</f>
        <v>1539</v>
      </c>
      <c r="E25" s="5">
        <f t="shared" si="17"/>
        <v>1365</v>
      </c>
      <c r="F25" s="5">
        <f t="shared" si="17"/>
        <v>1218.95064</v>
      </c>
      <c r="G25" s="5">
        <f t="shared" si="17"/>
        <v>1184.8629312000003</v>
      </c>
      <c r="H25" s="5">
        <f t="shared" si="17"/>
        <v>1157.1180566399998</v>
      </c>
      <c r="I25" s="5">
        <f t="shared" si="17"/>
        <v>1005.9222333887998</v>
      </c>
      <c r="J25" s="5">
        <f t="shared" si="17"/>
        <v>868.70428392383974</v>
      </c>
      <c r="R25" s="4" t="str">
        <f>B25</f>
        <v>Net Income</v>
      </c>
      <c r="S25" s="6">
        <f>S19</f>
        <v>986</v>
      </c>
      <c r="T25" s="6">
        <f>T19</f>
        <v>750</v>
      </c>
    </row>
    <row r="26" spans="2:20" x14ac:dyDescent="0.2">
      <c r="B26" t="s">
        <v>17</v>
      </c>
      <c r="R26" t="str">
        <f t="shared" ref="R26:R45" si="18">B26</f>
        <v>Non-Cash Adjustments</v>
      </c>
    </row>
    <row r="27" spans="2:20" x14ac:dyDescent="0.2">
      <c r="B27" s="7" t="s">
        <v>18</v>
      </c>
      <c r="C27" s="6">
        <f>-C12</f>
        <v>992</v>
      </c>
      <c r="D27" s="6">
        <f t="shared" ref="D27:J27" si="19">-D12</f>
        <v>991</v>
      </c>
      <c r="E27" s="6">
        <f t="shared" si="19"/>
        <v>989</v>
      </c>
      <c r="F27" s="6">
        <f t="shared" si="19"/>
        <v>949.57483999999999</v>
      </c>
      <c r="G27" s="6">
        <f t="shared" si="19"/>
        <v>1008.2692672000002</v>
      </c>
      <c r="H27" s="6">
        <f t="shared" si="19"/>
        <v>1080.4297358400001</v>
      </c>
      <c r="I27" s="6">
        <f t="shared" si="19"/>
        <v>1036.0461366528</v>
      </c>
      <c r="J27" s="6">
        <f t="shared" si="19"/>
        <v>993.09902231904005</v>
      </c>
      <c r="R27" s="7" t="str">
        <f t="shared" si="18"/>
        <v>(+) D&amp;A</v>
      </c>
      <c r="S27" s="6">
        <f>-S12</f>
        <v>745</v>
      </c>
      <c r="T27" s="6">
        <f>-T12</f>
        <v>744</v>
      </c>
    </row>
    <row r="28" spans="2:20" x14ac:dyDescent="0.2">
      <c r="B28" s="7" t="s">
        <v>19</v>
      </c>
      <c r="C28" s="6">
        <v>17</v>
      </c>
      <c r="D28" s="6">
        <v>15</v>
      </c>
      <c r="E28" s="6">
        <v>16</v>
      </c>
      <c r="F28" s="6">
        <f>F115</f>
        <v>16</v>
      </c>
      <c r="G28" s="6">
        <f t="shared" ref="G28:J28" si="20">G115</f>
        <v>16</v>
      </c>
      <c r="H28" s="6">
        <f t="shared" si="20"/>
        <v>16</v>
      </c>
      <c r="I28" s="6">
        <f t="shared" si="20"/>
        <v>16</v>
      </c>
      <c r="J28" s="6">
        <f t="shared" si="20"/>
        <v>16</v>
      </c>
      <c r="R28" s="7" t="str">
        <f t="shared" si="18"/>
        <v>(+) Shared Based Compesation</v>
      </c>
      <c r="S28" s="6">
        <v>12</v>
      </c>
      <c r="T28" s="6">
        <v>21</v>
      </c>
    </row>
    <row r="29" spans="2:20" x14ac:dyDescent="0.2">
      <c r="B29" s="7" t="s">
        <v>20</v>
      </c>
      <c r="C29" s="6">
        <v>62</v>
      </c>
      <c r="D29" s="6">
        <v>1</v>
      </c>
      <c r="E29" s="6">
        <v>0</v>
      </c>
      <c r="F29" s="6">
        <f>F116</f>
        <v>0</v>
      </c>
      <c r="G29" s="6">
        <f t="shared" ref="G29:J29" si="21">G116</f>
        <v>0</v>
      </c>
      <c r="H29" s="6">
        <f t="shared" si="21"/>
        <v>0</v>
      </c>
      <c r="I29" s="6">
        <f t="shared" si="21"/>
        <v>0</v>
      </c>
      <c r="J29" s="6">
        <f t="shared" si="21"/>
        <v>0</v>
      </c>
      <c r="R29" s="7" t="str">
        <f t="shared" si="18"/>
        <v>(+/-) Net Gain / Loss on investment</v>
      </c>
      <c r="S29" s="6">
        <v>1</v>
      </c>
      <c r="T29" s="6">
        <v>41</v>
      </c>
    </row>
    <row r="30" spans="2:20" x14ac:dyDescent="0.2">
      <c r="B30" s="7" t="s">
        <v>21</v>
      </c>
      <c r="C30" s="6">
        <v>-151</v>
      </c>
      <c r="D30" s="6">
        <v>-135</v>
      </c>
      <c r="E30" s="6">
        <v>-145</v>
      </c>
      <c r="F30" s="6">
        <f>F118</f>
        <v>-121.89506399999999</v>
      </c>
      <c r="G30" s="6">
        <f t="shared" ref="G30:J30" si="22">G118</f>
        <v>-78.990862079999999</v>
      </c>
      <c r="H30" s="6">
        <f t="shared" si="22"/>
        <v>-38.570601887999992</v>
      </c>
      <c r="I30" s="6">
        <f t="shared" si="22"/>
        <v>0</v>
      </c>
      <c r="J30" s="6">
        <f t="shared" si="22"/>
        <v>28.956809464127993</v>
      </c>
      <c r="R30" s="7" t="str">
        <f t="shared" si="18"/>
        <v>(+/-) Deferred Income Taxes</v>
      </c>
      <c r="S30" s="6">
        <v>-105</v>
      </c>
      <c r="T30" s="6">
        <v>-94</v>
      </c>
    </row>
    <row r="31" spans="2:20" x14ac:dyDescent="0.2">
      <c r="B31" s="11" t="s">
        <v>22</v>
      </c>
      <c r="R31" t="str">
        <f t="shared" si="18"/>
        <v>Change in Working Capital</v>
      </c>
    </row>
    <row r="32" spans="2:20" x14ac:dyDescent="0.2">
      <c r="B32" s="7" t="s">
        <v>23</v>
      </c>
      <c r="C32" s="6">
        <v>-62</v>
      </c>
      <c r="D32" s="6">
        <v>41</v>
      </c>
      <c r="E32" s="6">
        <v>100</v>
      </c>
      <c r="F32" s="6">
        <f>E56-F56</f>
        <v>101.25312000000008</v>
      </c>
      <c r="G32" s="6">
        <f t="shared" ref="G32:J32" si="23">F56-G56</f>
        <v>-18.134630400000106</v>
      </c>
      <c r="H32" s="6">
        <f t="shared" si="23"/>
        <v>-29.098068479999938</v>
      </c>
      <c r="I32" s="6">
        <f t="shared" si="23"/>
        <v>98.715021350400093</v>
      </c>
      <c r="J32" s="6">
        <f t="shared" si="23"/>
        <v>91.156745272319995</v>
      </c>
      <c r="R32" s="7" t="str">
        <f t="shared" si="18"/>
        <v>(+/-) Change in Receivables</v>
      </c>
      <c r="S32" s="6">
        <v>57</v>
      </c>
      <c r="T32" s="6">
        <v>48</v>
      </c>
    </row>
    <row r="33" spans="2:20" x14ac:dyDescent="0.2">
      <c r="B33" s="7" t="s">
        <v>24</v>
      </c>
      <c r="C33" s="6">
        <v>-42</v>
      </c>
      <c r="D33" s="6">
        <v>155</v>
      </c>
      <c r="E33" s="6">
        <v>68</v>
      </c>
      <c r="F33" s="6">
        <f>E61-F61</f>
        <v>64.893120000000067</v>
      </c>
      <c r="G33" s="6">
        <f t="shared" ref="G33:J33" si="24">F61-G61</f>
        <v>4.6509695999999394</v>
      </c>
      <c r="H33" s="6">
        <f t="shared" si="24"/>
        <v>0.52321152000001803</v>
      </c>
      <c r="I33" s="6">
        <f t="shared" si="24"/>
        <v>61.392208550400085</v>
      </c>
      <c r="J33" s="6">
        <f t="shared" si="24"/>
        <v>56.073301240320006</v>
      </c>
      <c r="R33" s="7" t="str">
        <f t="shared" si="18"/>
        <v>(+/-) Change in Content Cost</v>
      </c>
      <c r="S33" s="6">
        <v>53</v>
      </c>
      <c r="T33" s="6">
        <v>63</v>
      </c>
    </row>
    <row r="34" spans="2:20" x14ac:dyDescent="0.2">
      <c r="B34" s="7" t="s">
        <v>25</v>
      </c>
      <c r="C34" s="6">
        <v>-48</v>
      </c>
      <c r="D34" s="6">
        <v>-12</v>
      </c>
      <c r="E34" s="6">
        <v>-3</v>
      </c>
      <c r="F34" s="6">
        <f>F72-E72</f>
        <v>-4.255984135999995</v>
      </c>
      <c r="G34" s="6">
        <f t="shared" ref="G34:J34" si="25">G72-F72</f>
        <v>5.8690622531200063</v>
      </c>
      <c r="H34" s="6">
        <f t="shared" si="25"/>
        <v>7.2379206053440015</v>
      </c>
      <c r="I34" s="6">
        <f t="shared" si="25"/>
        <v>-4.7172292258291293</v>
      </c>
      <c r="J34" s="6">
        <f t="shared" si="25"/>
        <v>-4.5502253141304863</v>
      </c>
      <c r="R34" s="7" t="str">
        <f t="shared" si="18"/>
        <v>(+/-) Change in Account Payables</v>
      </c>
      <c r="S34" s="6">
        <v>-21</v>
      </c>
      <c r="T34" s="6">
        <v>-7</v>
      </c>
    </row>
    <row r="35" spans="2:20" x14ac:dyDescent="0.2">
      <c r="B35" s="7" t="s">
        <v>26</v>
      </c>
      <c r="C35" s="6">
        <v>-15</v>
      </c>
      <c r="D35" s="6">
        <v>-167</v>
      </c>
      <c r="E35" s="6">
        <v>-179</v>
      </c>
      <c r="F35" s="6">
        <f>E65-F65+F73-E73+F74-E74+F75-E75+F80-E80+F81-E81</f>
        <v>-20.063994422104805</v>
      </c>
      <c r="G35" s="6">
        <f t="shared" ref="G35:J35" si="26">F65-G65+G73-F73+G74-F74+G75-F75+G80-F80+G81-F81</f>
        <v>30.305028750526866</v>
      </c>
      <c r="H35" s="6">
        <f t="shared" si="26"/>
        <v>36.681597532922723</v>
      </c>
      <c r="I35" s="6">
        <f t="shared" si="26"/>
        <v>-23.81048165321247</v>
      </c>
      <c r="J35" s="6">
        <f t="shared" si="26"/>
        <v>-23.454152330028311</v>
      </c>
      <c r="R35" s="7" t="str">
        <f t="shared" si="18"/>
        <v>(+/-) Other Assets/Liabilities</v>
      </c>
      <c r="S35" s="6">
        <v>-126</v>
      </c>
      <c r="T35" s="6">
        <v>-20</v>
      </c>
    </row>
    <row r="36" spans="2:20" x14ac:dyDescent="0.2">
      <c r="B36" s="12" t="s">
        <v>27</v>
      </c>
      <c r="C36" s="5">
        <f>SUM(C32:C35)</f>
        <v>-167</v>
      </c>
      <c r="D36" s="5">
        <f t="shared" ref="D36:J36" si="27">SUM(D32:D35)</f>
        <v>17</v>
      </c>
      <c r="E36" s="5">
        <f t="shared" si="27"/>
        <v>-14</v>
      </c>
      <c r="F36" s="5">
        <f t="shared" si="27"/>
        <v>141.82626144189535</v>
      </c>
      <c r="G36" s="5">
        <f t="shared" si="27"/>
        <v>22.690430203646706</v>
      </c>
      <c r="H36" s="5">
        <f t="shared" si="27"/>
        <v>15.344661178266804</v>
      </c>
      <c r="I36" s="5">
        <f t="shared" si="27"/>
        <v>131.57951902175859</v>
      </c>
      <c r="J36" s="5">
        <f t="shared" si="27"/>
        <v>119.22566886848119</v>
      </c>
      <c r="R36" s="4" t="str">
        <f t="shared" si="18"/>
        <v>Net Change from Working Capital</v>
      </c>
      <c r="S36" s="5">
        <f>SUM(S32:S35)</f>
        <v>-37</v>
      </c>
      <c r="T36" s="5">
        <f>SUM(T32:T35)</f>
        <v>84</v>
      </c>
    </row>
    <row r="37" spans="2:20" x14ac:dyDescent="0.2">
      <c r="B37" s="8" t="s">
        <v>28</v>
      </c>
      <c r="C37" s="9">
        <f>C36+SUM(C25:C30)</f>
        <v>2511</v>
      </c>
      <c r="D37" s="9">
        <f t="shared" ref="D37:J37" si="28">D36+SUM(D25:D30)</f>
        <v>2428</v>
      </c>
      <c r="E37" s="9">
        <f t="shared" si="28"/>
        <v>2211</v>
      </c>
      <c r="F37" s="9">
        <f t="shared" si="28"/>
        <v>2204.4566774418959</v>
      </c>
      <c r="G37" s="9">
        <f t="shared" si="28"/>
        <v>2152.8317665236473</v>
      </c>
      <c r="H37" s="9">
        <f t="shared" si="28"/>
        <v>2230.3218517702667</v>
      </c>
      <c r="I37" s="9">
        <f t="shared" si="28"/>
        <v>2189.5478890633585</v>
      </c>
      <c r="J37" s="9">
        <f t="shared" si="28"/>
        <v>2025.9857845754891</v>
      </c>
      <c r="R37" s="16" t="str">
        <f t="shared" si="18"/>
        <v>Cash from Operations</v>
      </c>
      <c r="S37" s="17">
        <f>S36+SUM(S25:S30)</f>
        <v>1602</v>
      </c>
      <c r="T37" s="17">
        <f>T36+SUM(T25:T30)</f>
        <v>1546</v>
      </c>
    </row>
    <row r="39" spans="2:20" x14ac:dyDescent="0.2">
      <c r="B39" s="7" t="s">
        <v>29</v>
      </c>
      <c r="C39" s="6">
        <v>-65</v>
      </c>
      <c r="D39" s="6">
        <v>-56</v>
      </c>
      <c r="E39" s="6">
        <v>-54</v>
      </c>
      <c r="F39" s="6">
        <f>-F121</f>
        <v>-49.787099999999995</v>
      </c>
      <c r="G39" s="6">
        <f t="shared" ref="G39:J39" si="29">-G121</f>
        <v>-51.778584000000002</v>
      </c>
      <c r="H39" s="6">
        <f t="shared" si="29"/>
        <v>-54.367513199999998</v>
      </c>
      <c r="I39" s="6">
        <f t="shared" si="29"/>
        <v>-51.105462407999994</v>
      </c>
      <c r="J39" s="6">
        <f t="shared" si="29"/>
        <v>-48.039134663519995</v>
      </c>
      <c r="R39" s="7" t="str">
        <f t="shared" si="18"/>
        <v>(-) CAPEX</v>
      </c>
      <c r="S39" s="6">
        <v>-37</v>
      </c>
      <c r="T39" s="6">
        <v>-121</v>
      </c>
    </row>
    <row r="40" spans="2:20" x14ac:dyDescent="0.2">
      <c r="B40" s="7" t="s">
        <v>143</v>
      </c>
      <c r="C40" s="6">
        <v>27</v>
      </c>
      <c r="D40" s="6">
        <v>-4</v>
      </c>
      <c r="E40" s="6">
        <v>-17</v>
      </c>
      <c r="F40" s="6">
        <f>F124</f>
        <v>-5</v>
      </c>
      <c r="G40" s="6">
        <f t="shared" ref="G40:J40" si="30">G124</f>
        <v>-5</v>
      </c>
      <c r="H40" s="6">
        <f t="shared" si="30"/>
        <v>-5</v>
      </c>
      <c r="I40" s="6">
        <f t="shared" si="30"/>
        <v>-5</v>
      </c>
      <c r="J40" s="6">
        <f t="shared" si="30"/>
        <v>-5</v>
      </c>
      <c r="R40" s="7" t="str">
        <f t="shared" si="18"/>
        <v>(-) Other Investment</v>
      </c>
      <c r="S40" s="6">
        <v>-15</v>
      </c>
      <c r="T40" s="6">
        <v>35</v>
      </c>
    </row>
    <row r="41" spans="2:20" x14ac:dyDescent="0.2">
      <c r="B41" s="8" t="s">
        <v>30</v>
      </c>
      <c r="C41" s="9">
        <f>SUM(C39:C40)</f>
        <v>-38</v>
      </c>
      <c r="D41" s="9">
        <f t="shared" ref="D41:J41" si="31">SUM(D39:D40)</f>
        <v>-60</v>
      </c>
      <c r="E41" s="9">
        <f t="shared" si="31"/>
        <v>-71</v>
      </c>
      <c r="F41" s="9">
        <f t="shared" si="31"/>
        <v>-54.787099999999995</v>
      </c>
      <c r="G41" s="9">
        <f t="shared" si="31"/>
        <v>-56.778584000000002</v>
      </c>
      <c r="H41" s="9">
        <f t="shared" si="31"/>
        <v>-59.367513199999998</v>
      </c>
      <c r="I41" s="9">
        <f t="shared" si="31"/>
        <v>-56.105462407999994</v>
      </c>
      <c r="J41" s="9">
        <f t="shared" si="31"/>
        <v>-53.039134663519995</v>
      </c>
      <c r="R41" s="16" t="str">
        <f t="shared" si="18"/>
        <v>Cash from Investing</v>
      </c>
      <c r="S41" s="17">
        <f>SUM(S39:S40)</f>
        <v>-52</v>
      </c>
      <c r="T41" s="17">
        <f>SUM(T39:T40)</f>
        <v>-86</v>
      </c>
    </row>
    <row r="43" spans="2:20" x14ac:dyDescent="0.2">
      <c r="B43" s="7" t="s">
        <v>31</v>
      </c>
      <c r="C43" s="6">
        <v>-2492</v>
      </c>
      <c r="D43" s="6">
        <v>-2359</v>
      </c>
      <c r="E43" s="6">
        <v>-2142</v>
      </c>
      <c r="F43" s="6">
        <f>-F126</f>
        <v>-2076.1686421342242</v>
      </c>
      <c r="G43" s="6">
        <f t="shared" ref="G43:J43" si="32">-G126</f>
        <v>-2159.2153878195936</v>
      </c>
      <c r="H43" s="6">
        <f t="shared" si="32"/>
        <v>-2267.1761572105734</v>
      </c>
      <c r="I43" s="6">
        <f t="shared" si="32"/>
        <v>-2131.1455877779385</v>
      </c>
      <c r="J43" s="6">
        <f t="shared" si="32"/>
        <v>-2003.2768525112624</v>
      </c>
      <c r="R43" s="7" t="str">
        <f t="shared" si="18"/>
        <v>(-) Change in Net Parent Investment</v>
      </c>
      <c r="S43" s="6">
        <v>-1535</v>
      </c>
      <c r="T43" s="6">
        <v>-1401</v>
      </c>
    </row>
    <row r="44" spans="2:20" x14ac:dyDescent="0.2">
      <c r="B44" s="7" t="s">
        <v>32</v>
      </c>
      <c r="C44" s="6">
        <v>6</v>
      </c>
      <c r="D44" s="6">
        <v>4</v>
      </c>
      <c r="E44" s="6">
        <v>-12</v>
      </c>
      <c r="F44" s="6">
        <f>F129</f>
        <v>-0.66666666666666663</v>
      </c>
      <c r="G44" s="6">
        <f t="shared" ref="G44:J44" si="33">G129</f>
        <v>-0.66666666666666663</v>
      </c>
      <c r="H44" s="6">
        <f t="shared" si="33"/>
        <v>-0.66666666666666663</v>
      </c>
      <c r="I44" s="6">
        <f t="shared" si="33"/>
        <v>-0.66666666666666663</v>
      </c>
      <c r="J44" s="6">
        <f t="shared" si="33"/>
        <v>-0.66666666666666663</v>
      </c>
      <c r="R44" s="7" t="str">
        <f t="shared" si="18"/>
        <v>(+/-) Other</v>
      </c>
      <c r="S44" s="6">
        <v>-18</v>
      </c>
      <c r="T44" s="6">
        <v>-12</v>
      </c>
    </row>
    <row r="45" spans="2:20" x14ac:dyDescent="0.2">
      <c r="B45" s="8" t="s">
        <v>33</v>
      </c>
      <c r="C45" s="9">
        <f>SUM(C43:C44)</f>
        <v>-2486</v>
      </c>
      <c r="D45" s="9">
        <f t="shared" ref="D45:J45" si="34">SUM(D43:D44)</f>
        <v>-2355</v>
      </c>
      <c r="E45" s="9">
        <f t="shared" si="34"/>
        <v>-2154</v>
      </c>
      <c r="F45" s="9">
        <f t="shared" si="34"/>
        <v>-2076.8353088008907</v>
      </c>
      <c r="G45" s="9">
        <f t="shared" si="34"/>
        <v>-2159.8820544862601</v>
      </c>
      <c r="H45" s="9">
        <f t="shared" si="34"/>
        <v>-2267.8428238772399</v>
      </c>
      <c r="I45" s="9">
        <f t="shared" si="34"/>
        <v>-2131.8122544446051</v>
      </c>
      <c r="J45" s="9">
        <f t="shared" si="34"/>
        <v>-2003.9435191779291</v>
      </c>
      <c r="R45" s="16" t="str">
        <f t="shared" si="18"/>
        <v>Cash from Financing</v>
      </c>
      <c r="S45" s="17">
        <f>SUM(S43:S44)</f>
        <v>-1553</v>
      </c>
      <c r="T45" s="17">
        <f>SUM(T43:T44)</f>
        <v>-1413</v>
      </c>
    </row>
    <row r="46" spans="2:20" x14ac:dyDescent="0.2">
      <c r="B46" s="4"/>
      <c r="C46" s="5"/>
      <c r="D46" s="5"/>
      <c r="E46" s="5"/>
      <c r="F46" s="5"/>
      <c r="G46" s="5"/>
      <c r="H46" s="5"/>
      <c r="I46" s="5"/>
      <c r="J46" s="5"/>
      <c r="R46" s="4"/>
      <c r="S46" s="5"/>
      <c r="T46" s="5"/>
    </row>
    <row r="47" spans="2:20" x14ac:dyDescent="0.2">
      <c r="B47" t="s">
        <v>149</v>
      </c>
      <c r="C47" s="6">
        <f>C37+C41+C45</f>
        <v>-13</v>
      </c>
      <c r="D47" s="6">
        <f t="shared" ref="D47:G47" si="35">D37+D41+D45</f>
        <v>13</v>
      </c>
      <c r="E47" s="6">
        <f t="shared" si="35"/>
        <v>-14</v>
      </c>
      <c r="F47" s="6">
        <f t="shared" si="35"/>
        <v>72.83426864100511</v>
      </c>
      <c r="G47" s="6">
        <f t="shared" si="35"/>
        <v>-63.828871962612993</v>
      </c>
      <c r="H47" s="6">
        <f t="shared" ref="H47:J47" si="36">H37+H41+H45</f>
        <v>-96.888485306973053</v>
      </c>
      <c r="I47" s="6">
        <f t="shared" si="36"/>
        <v>1.6301722107536989</v>
      </c>
      <c r="J47" s="6">
        <f t="shared" si="36"/>
        <v>-30.996869265959958</v>
      </c>
      <c r="R47" s="4"/>
      <c r="S47" s="5"/>
      <c r="T47" s="5"/>
    </row>
    <row r="48" spans="2:20" x14ac:dyDescent="0.2">
      <c r="B48" t="s">
        <v>150</v>
      </c>
      <c r="C48" s="5"/>
      <c r="D48" s="5"/>
      <c r="E48" s="5"/>
      <c r="F48" s="6">
        <f>E55</f>
        <v>8</v>
      </c>
      <c r="G48" s="6">
        <f>F49</f>
        <v>80.83426864100511</v>
      </c>
      <c r="H48" s="6">
        <f t="shared" ref="H48:J48" si="37">G49</f>
        <v>17.005396678392117</v>
      </c>
      <c r="I48" s="6">
        <f t="shared" si="37"/>
        <v>-79.883088628580936</v>
      </c>
      <c r="J48" s="6">
        <f t="shared" si="37"/>
        <v>-78.252916417827237</v>
      </c>
      <c r="R48" s="4"/>
      <c r="S48" s="5"/>
      <c r="T48" s="5"/>
    </row>
    <row r="49" spans="2:20" x14ac:dyDescent="0.2">
      <c r="B49" s="16" t="s">
        <v>151</v>
      </c>
      <c r="C49" s="17"/>
      <c r="D49" s="17"/>
      <c r="E49" s="17"/>
      <c r="F49" s="17">
        <f>SUM(F47:F48)</f>
        <v>80.83426864100511</v>
      </c>
      <c r="G49" s="17">
        <f>SUM(G47:G48)</f>
        <v>17.005396678392117</v>
      </c>
      <c r="H49" s="17">
        <f t="shared" ref="H49:J49" si="38">SUM(H47:H48)</f>
        <v>-79.883088628580936</v>
      </c>
      <c r="I49" s="17">
        <f t="shared" si="38"/>
        <v>-78.252916417827237</v>
      </c>
      <c r="J49" s="17">
        <f t="shared" si="38"/>
        <v>-109.2497856837872</v>
      </c>
      <c r="R49" s="4"/>
      <c r="S49" s="5"/>
      <c r="T49" s="5"/>
    </row>
    <row r="51" spans="2:20" x14ac:dyDescent="0.2">
      <c r="B51" s="2"/>
      <c r="C51" s="126" t="s">
        <v>15</v>
      </c>
      <c r="D51" s="126"/>
      <c r="E51" s="127"/>
      <c r="F51" s="128" t="s">
        <v>125</v>
      </c>
      <c r="G51" s="126"/>
      <c r="H51" s="126"/>
      <c r="I51" s="126"/>
      <c r="J51" s="126"/>
      <c r="R51" s="2"/>
      <c r="S51" s="126" t="s">
        <v>108</v>
      </c>
      <c r="T51" s="126"/>
    </row>
    <row r="52" spans="2:20" x14ac:dyDescent="0.2">
      <c r="B52" s="10" t="s">
        <v>34</v>
      </c>
      <c r="C52" s="10">
        <v>2022</v>
      </c>
      <c r="D52" s="10">
        <v>2023</v>
      </c>
      <c r="E52" s="10">
        <v>2024</v>
      </c>
      <c r="F52" s="22">
        <v>2025</v>
      </c>
      <c r="G52" s="21">
        <f>F52+1</f>
        <v>2026</v>
      </c>
      <c r="H52" s="21">
        <f t="shared" ref="H52:J52" si="39">G52+1</f>
        <v>2027</v>
      </c>
      <c r="I52" s="21">
        <f t="shared" si="39"/>
        <v>2028</v>
      </c>
      <c r="J52" s="21">
        <f t="shared" si="39"/>
        <v>2029</v>
      </c>
      <c r="R52" s="10" t="s">
        <v>34</v>
      </c>
      <c r="S52" s="10"/>
      <c r="T52" s="10" t="str">
        <f>T24</f>
        <v>2025 9M</v>
      </c>
    </row>
    <row r="53" spans="2:20" x14ac:dyDescent="0.2">
      <c r="B53" s="14" t="s">
        <v>35</v>
      </c>
      <c r="C53" s="13"/>
      <c r="D53" s="13"/>
      <c r="E53" s="13"/>
      <c r="F53" s="13"/>
      <c r="G53" s="13"/>
      <c r="H53" s="13"/>
      <c r="I53" s="13"/>
      <c r="J53" s="18"/>
      <c r="R53" s="14" t="s">
        <v>35</v>
      </c>
      <c r="S53" s="19"/>
      <c r="T53" s="20"/>
    </row>
    <row r="54" spans="2:20" x14ac:dyDescent="0.2">
      <c r="B54" s="4" t="s">
        <v>36</v>
      </c>
      <c r="R54" s="4" t="str">
        <f>B54</f>
        <v>Current Assets</v>
      </c>
    </row>
    <row r="55" spans="2:20" x14ac:dyDescent="0.2">
      <c r="B55" s="7" t="s">
        <v>37</v>
      </c>
      <c r="D55" s="6">
        <v>23</v>
      </c>
      <c r="E55" s="6">
        <v>8</v>
      </c>
      <c r="F55" s="6">
        <f>F49</f>
        <v>80.83426864100511</v>
      </c>
      <c r="G55" s="6">
        <f t="shared" ref="G55:J55" si="40">G49</f>
        <v>17.005396678392117</v>
      </c>
      <c r="H55" s="6">
        <f t="shared" si="40"/>
        <v>-79.883088628580936</v>
      </c>
      <c r="I55" s="6">
        <f t="shared" si="40"/>
        <v>-78.252916417827237</v>
      </c>
      <c r="J55" s="6">
        <f t="shared" si="40"/>
        <v>-109.2497856837872</v>
      </c>
      <c r="R55" s="7" t="str">
        <f t="shared" ref="R55:R68" si="41">B55</f>
        <v>Cash and Cash Equivalents</v>
      </c>
      <c r="T55" s="6">
        <v>56</v>
      </c>
    </row>
    <row r="56" spans="2:20" x14ac:dyDescent="0.2">
      <c r="B56" s="7" t="s">
        <v>38</v>
      </c>
      <c r="D56" s="6">
        <v>1346</v>
      </c>
      <c r="E56" s="6">
        <v>1245</v>
      </c>
      <c r="F56" s="6">
        <f>F133</f>
        <v>1143.7468799999999</v>
      </c>
      <c r="G56" s="6">
        <f t="shared" ref="G56:J56" si="42">G133</f>
        <v>1161.8815104</v>
      </c>
      <c r="H56" s="6">
        <f t="shared" si="42"/>
        <v>1190.97957888</v>
      </c>
      <c r="I56" s="6">
        <f t="shared" si="42"/>
        <v>1092.2645575295999</v>
      </c>
      <c r="J56" s="6">
        <f t="shared" si="42"/>
        <v>1001.1078122572799</v>
      </c>
      <c r="R56" s="7" t="str">
        <f t="shared" si="41"/>
        <v>Trade Receivable</v>
      </c>
      <c r="T56" s="6">
        <v>1194</v>
      </c>
    </row>
    <row r="57" spans="2:20" x14ac:dyDescent="0.2">
      <c r="B57" s="7" t="s">
        <v>39</v>
      </c>
      <c r="D57" s="6">
        <v>53</v>
      </c>
      <c r="E57" s="6">
        <v>64</v>
      </c>
      <c r="F57" s="6">
        <f>F136</f>
        <v>63.479140000000001</v>
      </c>
      <c r="G57" s="6">
        <f t="shared" ref="G57:J57" si="43">G136</f>
        <v>69.470211200000008</v>
      </c>
      <c r="H57" s="6">
        <f t="shared" si="43"/>
        <v>76.568222640000002</v>
      </c>
      <c r="I57" s="6">
        <f t="shared" si="43"/>
        <v>75.381160108800003</v>
      </c>
      <c r="J57" s="6">
        <f t="shared" si="43"/>
        <v>74.060899479840003</v>
      </c>
      <c r="R57" s="7" t="str">
        <f t="shared" si="41"/>
        <v>Other Current Assets</v>
      </c>
      <c r="T57" s="6">
        <v>49</v>
      </c>
    </row>
    <row r="58" spans="2:20" x14ac:dyDescent="0.2">
      <c r="B58" s="4" t="s">
        <v>40</v>
      </c>
      <c r="D58" s="5">
        <f>SUM(D55:D57)</f>
        <v>1422</v>
      </c>
      <c r="E58" s="5">
        <f>SUM(E55:E57)</f>
        <v>1317</v>
      </c>
      <c r="F58" s="5">
        <f t="shared" ref="F58:J58" si="44">SUM(F55:F57)</f>
        <v>1288.0602886410049</v>
      </c>
      <c r="G58" s="5">
        <f t="shared" si="44"/>
        <v>1248.3571182783921</v>
      </c>
      <c r="H58" s="5">
        <f t="shared" si="44"/>
        <v>1187.664712891419</v>
      </c>
      <c r="I58" s="5">
        <f t="shared" si="44"/>
        <v>1089.3928012205727</v>
      </c>
      <c r="J58" s="5">
        <f t="shared" si="44"/>
        <v>965.91892605333271</v>
      </c>
      <c r="R58" s="4" t="str">
        <f t="shared" si="41"/>
        <v>Total Current Assets</v>
      </c>
      <c r="T58" s="5">
        <f>SUM(T55:T57)</f>
        <v>1299</v>
      </c>
    </row>
    <row r="60" spans="2:20" x14ac:dyDescent="0.2">
      <c r="B60" s="4" t="s">
        <v>41</v>
      </c>
      <c r="R60" s="4" t="str">
        <f t="shared" si="41"/>
        <v>Non-Current Assets</v>
      </c>
    </row>
    <row r="61" spans="2:20" x14ac:dyDescent="0.2">
      <c r="B61" s="7" t="s">
        <v>42</v>
      </c>
      <c r="D61" s="6">
        <v>706</v>
      </c>
      <c r="E61" s="6">
        <v>639</v>
      </c>
      <c r="F61" s="6">
        <f>F139</f>
        <v>574.10687999999993</v>
      </c>
      <c r="G61" s="6">
        <f t="shared" ref="G61:J61" si="45">G139</f>
        <v>569.45591039999999</v>
      </c>
      <c r="H61" s="6">
        <f t="shared" si="45"/>
        <v>568.93269887999998</v>
      </c>
      <c r="I61" s="6">
        <f t="shared" si="45"/>
        <v>507.54049032959989</v>
      </c>
      <c r="J61" s="6">
        <f t="shared" si="45"/>
        <v>451.46718908927988</v>
      </c>
      <c r="R61" s="7" t="str">
        <f t="shared" si="41"/>
        <v>Content Cost</v>
      </c>
      <c r="T61" s="6">
        <v>575</v>
      </c>
    </row>
    <row r="62" spans="2:20" x14ac:dyDescent="0.2">
      <c r="B62" s="7" t="s">
        <v>43</v>
      </c>
      <c r="D62" s="6">
        <v>254</v>
      </c>
      <c r="E62" s="6">
        <v>254</v>
      </c>
      <c r="F62" s="6">
        <f>E62-F40</f>
        <v>259</v>
      </c>
      <c r="G62" s="6">
        <f t="shared" ref="G62:J62" si="46">F62-G40</f>
        <v>264</v>
      </c>
      <c r="H62" s="6">
        <f t="shared" si="46"/>
        <v>269</v>
      </c>
      <c r="I62" s="6">
        <f t="shared" si="46"/>
        <v>274</v>
      </c>
      <c r="J62" s="6">
        <f t="shared" si="46"/>
        <v>279</v>
      </c>
      <c r="R62" s="7" t="str">
        <f t="shared" si="41"/>
        <v>Investment</v>
      </c>
      <c r="T62" s="6">
        <v>212</v>
      </c>
    </row>
    <row r="63" spans="2:20" x14ac:dyDescent="0.2">
      <c r="B63" s="7" t="s">
        <v>145</v>
      </c>
      <c r="D63" s="6">
        <f>2795+161</f>
        <v>2956</v>
      </c>
      <c r="E63" s="6">
        <f>1869+143</f>
        <v>2012</v>
      </c>
      <c r="F63" s="6">
        <f>E63-F39</f>
        <v>2061.7871</v>
      </c>
      <c r="G63" s="6">
        <f t="shared" ref="G63:J63" si="47">F63-G39</f>
        <v>2113.5656840000001</v>
      </c>
      <c r="H63" s="6">
        <f t="shared" si="47"/>
        <v>2167.9331972</v>
      </c>
      <c r="I63" s="6">
        <f t="shared" si="47"/>
        <v>2219.0386596079998</v>
      </c>
      <c r="J63" s="6">
        <f t="shared" si="47"/>
        <v>2267.0777942715199</v>
      </c>
      <c r="R63" s="7" t="str">
        <f t="shared" si="41"/>
        <v>Intangible Assets (incl. PP&amp;E</v>
      </c>
      <c r="T63" s="6">
        <f>1170+228</f>
        <v>1398</v>
      </c>
    </row>
    <row r="64" spans="2:20" x14ac:dyDescent="0.2">
      <c r="B64" s="7" t="s">
        <v>45</v>
      </c>
      <c r="D64" s="6">
        <v>7732</v>
      </c>
      <c r="E64" s="6">
        <v>7732</v>
      </c>
      <c r="F64" s="6">
        <f>E64+F12</f>
        <v>6782.4251599999998</v>
      </c>
      <c r="G64" s="6">
        <f t="shared" ref="G64:J64" si="48">F64+G12</f>
        <v>5774.1558927999995</v>
      </c>
      <c r="H64" s="6">
        <f t="shared" si="48"/>
        <v>4693.7261569599996</v>
      </c>
      <c r="I64" s="6">
        <f t="shared" si="48"/>
        <v>3657.6800203071998</v>
      </c>
      <c r="J64" s="6">
        <f t="shared" si="48"/>
        <v>2664.5809979881597</v>
      </c>
      <c r="R64" s="7" t="str">
        <f t="shared" si="41"/>
        <v>Goodwill</v>
      </c>
      <c r="T64" s="6">
        <v>7732</v>
      </c>
    </row>
    <row r="65" spans="2:20" x14ac:dyDescent="0.2">
      <c r="B65" s="7" t="s">
        <v>46</v>
      </c>
      <c r="D65" s="6">
        <v>29</v>
      </c>
      <c r="E65" s="6">
        <v>94</v>
      </c>
      <c r="F65" s="6">
        <f>F142</f>
        <v>101.63656</v>
      </c>
      <c r="G65" s="6">
        <f t="shared" ref="G65:J65" si="49">G142</f>
        <v>119.5096448</v>
      </c>
      <c r="H65" s="6">
        <f t="shared" si="49"/>
        <v>139.98313056000001</v>
      </c>
      <c r="I65" s="6">
        <f t="shared" si="49"/>
        <v>145.21226603520003</v>
      </c>
      <c r="J65" s="6">
        <f t="shared" si="49"/>
        <v>149.30996598336003</v>
      </c>
      <c r="R65" s="7" t="str">
        <f t="shared" si="41"/>
        <v>Other Non-Current Assets</v>
      </c>
      <c r="T65" s="6">
        <v>94</v>
      </c>
    </row>
    <row r="66" spans="2:20" x14ac:dyDescent="0.2">
      <c r="B66" s="4" t="s">
        <v>47</v>
      </c>
      <c r="D66" s="5">
        <f t="shared" ref="D66:J66" si="50">SUM(D61:D65)</f>
        <v>11677</v>
      </c>
      <c r="E66" s="5">
        <f t="shared" si="50"/>
        <v>10731</v>
      </c>
      <c r="F66" s="5">
        <f t="shared" si="50"/>
        <v>9778.9557000000004</v>
      </c>
      <c r="G66" s="5">
        <f t="shared" si="50"/>
        <v>8840.6871319999991</v>
      </c>
      <c r="H66" s="5">
        <f t="shared" si="50"/>
        <v>7839.5751835999999</v>
      </c>
      <c r="I66" s="5">
        <f t="shared" si="50"/>
        <v>6803.4714362799987</v>
      </c>
      <c r="J66" s="5">
        <f t="shared" si="50"/>
        <v>5811.4359473323193</v>
      </c>
      <c r="R66" s="4" t="str">
        <f t="shared" si="41"/>
        <v>Total Non-Current Assets</v>
      </c>
      <c r="T66" s="5">
        <f>SUM(T61:T65)</f>
        <v>10011</v>
      </c>
    </row>
    <row r="67" spans="2:20" x14ac:dyDescent="0.2">
      <c r="B67" s="4"/>
      <c r="D67" s="5"/>
      <c r="E67" s="5"/>
    </row>
    <row r="68" spans="2:20" x14ac:dyDescent="0.2">
      <c r="B68" s="12" t="s">
        <v>63</v>
      </c>
      <c r="D68" s="5">
        <f t="shared" ref="D68:J68" si="51">D58+D66</f>
        <v>13099</v>
      </c>
      <c r="E68" s="5">
        <f t="shared" si="51"/>
        <v>12048</v>
      </c>
      <c r="F68" s="5">
        <f t="shared" si="51"/>
        <v>11067.015988641006</v>
      </c>
      <c r="G68" s="5">
        <f t="shared" si="51"/>
        <v>10089.044250278392</v>
      </c>
      <c r="H68" s="5">
        <f t="shared" si="51"/>
        <v>9027.2398964914191</v>
      </c>
      <c r="I68" s="5">
        <f t="shared" si="51"/>
        <v>7892.8642375005711</v>
      </c>
      <c r="J68" s="5">
        <f t="shared" si="51"/>
        <v>6777.3548733856524</v>
      </c>
      <c r="R68" s="4" t="str">
        <f t="shared" si="41"/>
        <v>Total Assets</v>
      </c>
      <c r="T68" s="5">
        <f>T66+T58</f>
        <v>11310</v>
      </c>
    </row>
    <row r="70" spans="2:20" x14ac:dyDescent="0.2">
      <c r="B70" s="14" t="s">
        <v>48</v>
      </c>
      <c r="C70" s="13"/>
      <c r="D70" s="13"/>
      <c r="E70" s="13"/>
      <c r="F70" s="13"/>
      <c r="G70" s="13"/>
      <c r="H70" s="13"/>
      <c r="I70" s="13"/>
      <c r="J70" s="18"/>
      <c r="R70" s="14" t="s">
        <v>48</v>
      </c>
      <c r="S70" s="19"/>
      <c r="T70" s="20"/>
    </row>
    <row r="71" spans="2:20" x14ac:dyDescent="0.2">
      <c r="B71" s="4" t="s">
        <v>49</v>
      </c>
      <c r="R71" s="4" t="str">
        <f>B71</f>
        <v>Current Liabilities</v>
      </c>
    </row>
    <row r="72" spans="2:20" x14ac:dyDescent="0.2">
      <c r="B72" s="7" t="s">
        <v>50</v>
      </c>
      <c r="D72" s="6">
        <v>105</v>
      </c>
      <c r="E72" s="6">
        <v>102</v>
      </c>
      <c r="F72" s="6">
        <f>F145</f>
        <v>97.744015864000005</v>
      </c>
      <c r="G72" s="6">
        <f t="shared" ref="G72:J72" si="52">G145</f>
        <v>103.61307811712001</v>
      </c>
      <c r="H72" s="6">
        <f t="shared" si="52"/>
        <v>110.85099872246401</v>
      </c>
      <c r="I72" s="6">
        <f t="shared" si="52"/>
        <v>106.13376949663488</v>
      </c>
      <c r="J72" s="6">
        <f t="shared" si="52"/>
        <v>101.5835441825044</v>
      </c>
      <c r="R72" s="7" t="str">
        <f t="shared" ref="R72:R84" si="53">B72</f>
        <v>Account Payable</v>
      </c>
      <c r="T72" s="6">
        <v>98</v>
      </c>
    </row>
    <row r="73" spans="2:20" x14ac:dyDescent="0.2">
      <c r="B73" s="7" t="s">
        <v>51</v>
      </c>
      <c r="D73" s="6">
        <v>116</v>
      </c>
      <c r="E73" s="6">
        <v>135</v>
      </c>
      <c r="F73" s="6">
        <f>F148</f>
        <v>153.45311999999998</v>
      </c>
      <c r="G73" s="6">
        <f t="shared" ref="G73:J73" si="54">G148</f>
        <v>187.2064896</v>
      </c>
      <c r="H73" s="6">
        <f t="shared" si="54"/>
        <v>225.56282112</v>
      </c>
      <c r="I73" s="6">
        <f t="shared" si="54"/>
        <v>239.28529847039999</v>
      </c>
      <c r="J73" s="6">
        <f t="shared" si="54"/>
        <v>250.54905238272002</v>
      </c>
      <c r="R73" s="7" t="str">
        <f t="shared" si="53"/>
        <v>Deferred Revenue</v>
      </c>
      <c r="T73" s="6">
        <v>174</v>
      </c>
    </row>
    <row r="74" spans="2:20" x14ac:dyDescent="0.2">
      <c r="B74" s="7" t="s">
        <v>57</v>
      </c>
      <c r="D74" s="6">
        <v>233</v>
      </c>
      <c r="E74" s="6">
        <v>198</v>
      </c>
      <c r="F74" s="6">
        <f>F151</f>
        <v>181.57012173054829</v>
      </c>
      <c r="G74" s="6">
        <f t="shared" ref="G74:J74" si="55">G151</f>
        <v>183.68682452754047</v>
      </c>
      <c r="H74" s="6">
        <f t="shared" si="55"/>
        <v>187.03281847247621</v>
      </c>
      <c r="I74" s="6">
        <f t="shared" si="55"/>
        <v>169.91395922030884</v>
      </c>
      <c r="J74" s="6">
        <f t="shared" si="55"/>
        <v>153.79173185459248</v>
      </c>
      <c r="R74" s="7" t="str">
        <f t="shared" si="53"/>
        <v>Accrued Content Obligation</v>
      </c>
      <c r="T74" s="6">
        <v>154</v>
      </c>
    </row>
    <row r="75" spans="2:20" x14ac:dyDescent="0.2">
      <c r="B75" s="7" t="s">
        <v>52</v>
      </c>
      <c r="D75" s="6">
        <f>43+118</f>
        <v>161</v>
      </c>
      <c r="E75" s="6">
        <f>43+111</f>
        <v>154</v>
      </c>
      <c r="F75" s="6">
        <f>F154</f>
        <v>146.57174230285713</v>
      </c>
      <c r="G75" s="6">
        <f t="shared" ref="G75:J75" si="56">G154</f>
        <v>154.27740112274284</v>
      </c>
      <c r="H75" s="6">
        <f t="shared" si="56"/>
        <v>163.88270575248001</v>
      </c>
      <c r="I75" s="6">
        <f t="shared" si="56"/>
        <v>155.78680753658878</v>
      </c>
      <c r="J75" s="6">
        <f t="shared" si="56"/>
        <v>148.0340080581648</v>
      </c>
      <c r="R75" s="7" t="str">
        <f t="shared" si="53"/>
        <v>Accrued</v>
      </c>
      <c r="T75" s="6">
        <f>63+107</f>
        <v>170</v>
      </c>
    </row>
    <row r="76" spans="2:20" x14ac:dyDescent="0.2">
      <c r="B76" s="4" t="s">
        <v>53</v>
      </c>
      <c r="D76" s="5">
        <f>SUM(D72:D75)</f>
        <v>615</v>
      </c>
      <c r="E76" s="5">
        <f>SUM(E72:E75)</f>
        <v>589</v>
      </c>
      <c r="F76" s="5">
        <f t="shared" ref="F76:J76" si="57">SUM(F72:F75)</f>
        <v>579.33899989740542</v>
      </c>
      <c r="G76" s="5">
        <f t="shared" si="57"/>
        <v>628.78379336740329</v>
      </c>
      <c r="H76" s="5">
        <f t="shared" si="57"/>
        <v>687.32934406742015</v>
      </c>
      <c r="I76" s="5">
        <f t="shared" si="57"/>
        <v>671.11983472393251</v>
      </c>
      <c r="J76" s="5">
        <f t="shared" si="57"/>
        <v>653.95833647798167</v>
      </c>
      <c r="R76" s="4" t="str">
        <f t="shared" si="53"/>
        <v>Total Current Liabilities</v>
      </c>
      <c r="T76" s="5">
        <f>SUM(T72:T75)</f>
        <v>596</v>
      </c>
    </row>
    <row r="77" spans="2:20" x14ac:dyDescent="0.2">
      <c r="R77" s="4"/>
    </row>
    <row r="78" spans="2:20" x14ac:dyDescent="0.2">
      <c r="B78" s="4" t="s">
        <v>54</v>
      </c>
      <c r="R78" s="4" t="str">
        <f t="shared" si="53"/>
        <v>Non-Current Liabilities</v>
      </c>
    </row>
    <row r="79" spans="2:20" x14ac:dyDescent="0.2">
      <c r="B79" s="7" t="s">
        <v>55</v>
      </c>
      <c r="D79" s="6">
        <v>572</v>
      </c>
      <c r="E79" s="6">
        <v>428</v>
      </c>
      <c r="F79" s="6">
        <f>E79+F30</f>
        <v>306.10493600000001</v>
      </c>
      <c r="G79" s="6">
        <f t="shared" ref="G79:J79" si="58">F79+G30</f>
        <v>227.11407392000001</v>
      </c>
      <c r="H79" s="6">
        <f t="shared" si="58"/>
        <v>188.54347203200001</v>
      </c>
      <c r="I79" s="6">
        <f t="shared" si="58"/>
        <v>188.54347203200001</v>
      </c>
      <c r="J79" s="6">
        <f t="shared" si="58"/>
        <v>217.500281496128</v>
      </c>
      <c r="R79" s="7" t="str">
        <f t="shared" si="53"/>
        <v>Deferred Income Tax</v>
      </c>
      <c r="T79" s="6">
        <v>322</v>
      </c>
    </row>
    <row r="80" spans="2:20" x14ac:dyDescent="0.2">
      <c r="B80" s="7" t="s">
        <v>56</v>
      </c>
      <c r="D80" s="6">
        <v>191</v>
      </c>
      <c r="E80" s="6">
        <v>77</v>
      </c>
      <c r="F80" s="6">
        <f>F157</f>
        <v>73.663569999999993</v>
      </c>
      <c r="G80" s="6">
        <f t="shared" ref="G80:J80" si="59">G157</f>
        <v>78.336065599999998</v>
      </c>
      <c r="H80" s="6">
        <f t="shared" si="59"/>
        <v>84.065119320000008</v>
      </c>
      <c r="I80" s="6">
        <f t="shared" si="59"/>
        <v>80.724727574399992</v>
      </c>
      <c r="J80" s="6">
        <f t="shared" si="59"/>
        <v>77.482548408719992</v>
      </c>
      <c r="R80" s="7" t="str">
        <f t="shared" si="53"/>
        <v>Non-Current Content Obligation</v>
      </c>
      <c r="T80" s="6">
        <v>66</v>
      </c>
    </row>
    <row r="81" spans="2:20" x14ac:dyDescent="0.2">
      <c r="B81" s="7" t="s">
        <v>58</v>
      </c>
      <c r="D81" s="6">
        <v>46</v>
      </c>
      <c r="E81" s="6">
        <v>39</v>
      </c>
      <c r="F81" s="6">
        <f>F160</f>
        <v>35.314011544489794</v>
      </c>
      <c r="G81" s="6">
        <f t="shared" ref="G81:J81" si="60">G160</f>
        <v>35.243898278138772</v>
      </c>
      <c r="H81" s="6">
        <f t="shared" si="60"/>
        <v>35.362297756388571</v>
      </c>
      <c r="I81" s="6">
        <f t="shared" si="60"/>
        <v>31.613623441634736</v>
      </c>
      <c r="J81" s="6">
        <f t="shared" si="60"/>
        <v>28.110623157266733</v>
      </c>
      <c r="R81" s="7" t="str">
        <f t="shared" si="53"/>
        <v>Other Liabilities</v>
      </c>
      <c r="T81" s="6">
        <v>37</v>
      </c>
    </row>
    <row r="82" spans="2:20" x14ac:dyDescent="0.2">
      <c r="B82" s="4" t="s">
        <v>59</v>
      </c>
      <c r="D82" s="5">
        <f>SUM(D79:D81)</f>
        <v>809</v>
      </c>
      <c r="E82" s="5">
        <f>SUM(E79:E81)</f>
        <v>544</v>
      </c>
      <c r="F82" s="5">
        <f t="shared" ref="F82:J82" si="61">SUM(F79:F81)</f>
        <v>415.0825175444898</v>
      </c>
      <c r="G82" s="5">
        <f t="shared" si="61"/>
        <v>340.69403779813877</v>
      </c>
      <c r="H82" s="5">
        <f t="shared" si="61"/>
        <v>307.97088910838858</v>
      </c>
      <c r="I82" s="5">
        <f t="shared" si="61"/>
        <v>300.88182304803473</v>
      </c>
      <c r="J82" s="5">
        <f t="shared" si="61"/>
        <v>323.09345306211475</v>
      </c>
      <c r="R82" s="4" t="str">
        <f t="shared" si="53"/>
        <v>Total Non-Current Liabilities</v>
      </c>
      <c r="T82" s="5">
        <f>SUM(T79:T81)</f>
        <v>425</v>
      </c>
    </row>
    <row r="83" spans="2:20" x14ac:dyDescent="0.2">
      <c r="R83" s="4"/>
    </row>
    <row r="84" spans="2:20" x14ac:dyDescent="0.2">
      <c r="B84" s="4" t="s">
        <v>60</v>
      </c>
      <c r="D84" s="5">
        <f>D76+D82</f>
        <v>1424</v>
      </c>
      <c r="E84" s="5">
        <f>E76+E82</f>
        <v>1133</v>
      </c>
      <c r="F84" s="5">
        <f t="shared" ref="F84:J84" si="62">F76+F82</f>
        <v>994.42151744189528</v>
      </c>
      <c r="G84" s="5">
        <f t="shared" si="62"/>
        <v>969.47783116554206</v>
      </c>
      <c r="H84" s="5">
        <f t="shared" si="62"/>
        <v>995.30023317580867</v>
      </c>
      <c r="I84" s="5">
        <f t="shared" si="62"/>
        <v>972.0016577719673</v>
      </c>
      <c r="J84" s="5">
        <f t="shared" si="62"/>
        <v>977.05178954009648</v>
      </c>
      <c r="R84" s="4" t="str">
        <f t="shared" si="53"/>
        <v>Total Liabilities</v>
      </c>
      <c r="T84" s="5">
        <f>T82+T76</f>
        <v>1021</v>
      </c>
    </row>
    <row r="86" spans="2:20" x14ac:dyDescent="0.2">
      <c r="B86" s="7" t="s">
        <v>122</v>
      </c>
      <c r="D86" s="6">
        <v>11558</v>
      </c>
      <c r="E86" s="6">
        <v>10797</v>
      </c>
      <c r="F86" s="6">
        <f>E86+F19+F43+F28+F44</f>
        <v>9955.1153311991093</v>
      </c>
      <c r="G86" s="6">
        <f t="shared" ref="G86:J86" si="63">F86+G19+G43+G28+G44</f>
        <v>8996.0962079128494</v>
      </c>
      <c r="H86" s="6">
        <f t="shared" si="63"/>
        <v>7901.3714406756089</v>
      </c>
      <c r="I86" s="6">
        <f t="shared" si="63"/>
        <v>6791.4814196198031</v>
      </c>
      <c r="J86" s="6">
        <f t="shared" si="63"/>
        <v>5672.242184365713</v>
      </c>
      <c r="R86" s="7" t="s">
        <v>122</v>
      </c>
      <c r="T86" s="6">
        <v>10170</v>
      </c>
    </row>
    <row r="87" spans="2:20" x14ac:dyDescent="0.2">
      <c r="B87" s="7" t="s">
        <v>124</v>
      </c>
      <c r="D87" s="6">
        <v>117</v>
      </c>
      <c r="E87" s="6">
        <v>118</v>
      </c>
      <c r="F87" s="6">
        <f>E87+F20</f>
        <v>118</v>
      </c>
      <c r="G87" s="6">
        <f t="shared" ref="G87:J87" si="64">F87+G20</f>
        <v>118</v>
      </c>
      <c r="H87" s="6">
        <f t="shared" si="64"/>
        <v>118</v>
      </c>
      <c r="I87" s="6">
        <f t="shared" si="64"/>
        <v>118</v>
      </c>
      <c r="J87" s="6">
        <f t="shared" si="64"/>
        <v>118</v>
      </c>
      <c r="R87" s="7" t="s">
        <v>123</v>
      </c>
      <c r="T87" s="6">
        <v>119</v>
      </c>
    </row>
    <row r="88" spans="2:20" x14ac:dyDescent="0.2">
      <c r="B88" s="4" t="s">
        <v>61</v>
      </c>
      <c r="D88" s="5">
        <f>SUM(D86:D87)</f>
        <v>11675</v>
      </c>
      <c r="E88" s="5">
        <f>SUM(E86:E87)</f>
        <v>10915</v>
      </c>
      <c r="F88" s="5">
        <f t="shared" ref="F88:J88" si="65">SUM(F86:F87)</f>
        <v>10073.115331199109</v>
      </c>
      <c r="G88" s="5">
        <f t="shared" si="65"/>
        <v>9114.0962079128494</v>
      </c>
      <c r="H88" s="5">
        <f t="shared" si="65"/>
        <v>8019.3714406756089</v>
      </c>
      <c r="I88" s="5">
        <f t="shared" si="65"/>
        <v>6909.4814196198031</v>
      </c>
      <c r="J88" s="5">
        <f t="shared" si="65"/>
        <v>5790.242184365713</v>
      </c>
      <c r="R88" s="4" t="str">
        <f>B88</f>
        <v>Equity</v>
      </c>
      <c r="T88" s="5">
        <f>SUM(T86:T87)</f>
        <v>10289</v>
      </c>
    </row>
    <row r="90" spans="2:20" x14ac:dyDescent="0.2">
      <c r="B90" s="29" t="s">
        <v>62</v>
      </c>
      <c r="C90" s="29"/>
      <c r="D90" s="30" t="str">
        <f>IF(AND(D68-D84-D88&lt;1,D68-D84-D88&gt;-1), "OK!",D68-D84-D88)</f>
        <v>OK!</v>
      </c>
      <c r="E90" s="30" t="str">
        <f t="shared" ref="E90:J90" si="66">IF(AND(E68-E84-E88&lt;1,E68-E84-E88&gt;-1), "OK!",E68-E84-E88)</f>
        <v>OK!</v>
      </c>
      <c r="F90" s="30" t="str">
        <f t="shared" si="66"/>
        <v>OK!</v>
      </c>
      <c r="G90" s="30">
        <f t="shared" si="66"/>
        <v>5.4702111999995395</v>
      </c>
      <c r="H90" s="30">
        <f t="shared" si="66"/>
        <v>12.568222640001295</v>
      </c>
      <c r="I90" s="30">
        <f t="shared" si="66"/>
        <v>11.381160108800941</v>
      </c>
      <c r="J90" s="30">
        <f t="shared" si="66"/>
        <v>10.060899479843101</v>
      </c>
    </row>
    <row r="92" spans="2:20" x14ac:dyDescent="0.2">
      <c r="B92" s="2"/>
      <c r="C92" s="126" t="s">
        <v>15</v>
      </c>
      <c r="D92" s="126"/>
      <c r="E92" s="127"/>
      <c r="F92" s="128" t="s">
        <v>125</v>
      </c>
      <c r="G92" s="126"/>
      <c r="H92" s="126"/>
      <c r="I92" s="126"/>
      <c r="J92" s="126"/>
    </row>
    <row r="93" spans="2:20" x14ac:dyDescent="0.2">
      <c r="B93" s="10" t="s">
        <v>136</v>
      </c>
      <c r="C93" s="10">
        <v>2022</v>
      </c>
      <c r="D93" s="10">
        <v>2023</v>
      </c>
      <c r="E93" s="10">
        <v>2024</v>
      </c>
      <c r="F93" s="22">
        <v>2025</v>
      </c>
      <c r="G93" s="21">
        <f>F93+1</f>
        <v>2026</v>
      </c>
      <c r="H93" s="21">
        <f t="shared" ref="H93:J93" si="67">G93+1</f>
        <v>2027</v>
      </c>
      <c r="I93" s="21">
        <f t="shared" si="67"/>
        <v>2028</v>
      </c>
      <c r="J93" s="21">
        <f t="shared" si="67"/>
        <v>2029</v>
      </c>
    </row>
    <row r="94" spans="2:20" x14ac:dyDescent="0.2">
      <c r="B94" t="s">
        <v>1</v>
      </c>
      <c r="C94" s="6">
        <f>C6</f>
        <v>7834</v>
      </c>
      <c r="D94" s="6">
        <f>D6</f>
        <v>7445</v>
      </c>
      <c r="E94" s="6">
        <f>E6</f>
        <v>7062</v>
      </c>
      <c r="F94" s="6">
        <f>E94*(1+F95)</f>
        <v>6638.28</v>
      </c>
      <c r="G94" s="6">
        <f t="shared" ref="G94:J94" si="68">F94*(1+G95)</f>
        <v>6903.8112000000001</v>
      </c>
      <c r="H94" s="6">
        <f t="shared" si="68"/>
        <v>7249.0017600000001</v>
      </c>
      <c r="I94" s="6">
        <f t="shared" si="68"/>
        <v>6814.0616543999995</v>
      </c>
      <c r="J94" s="6">
        <f t="shared" si="68"/>
        <v>6405.2179551359995</v>
      </c>
    </row>
    <row r="95" spans="2:20" x14ac:dyDescent="0.2">
      <c r="B95" s="7" t="s">
        <v>126</v>
      </c>
      <c r="D95" s="25">
        <f>D6/C6-1</f>
        <v>-4.9655348480980299E-2</v>
      </c>
      <c r="E95" s="25">
        <f>E6/D6-1</f>
        <v>-5.1443922095365968E-2</v>
      </c>
      <c r="F95" s="26">
        <v>-0.06</v>
      </c>
      <c r="G95" s="26">
        <v>0.04</v>
      </c>
      <c r="H95" s="26">
        <v>0.05</v>
      </c>
      <c r="I95" s="26">
        <v>-0.06</v>
      </c>
      <c r="J95" s="26">
        <v>-0.06</v>
      </c>
    </row>
    <row r="97" spans="2:10" x14ac:dyDescent="0.2">
      <c r="B97" t="s">
        <v>6</v>
      </c>
      <c r="C97" s="6">
        <f>C8</f>
        <v>4673</v>
      </c>
      <c r="D97" s="6">
        <f>D8</f>
        <v>4291</v>
      </c>
      <c r="E97" s="6">
        <f>E8</f>
        <v>3998</v>
      </c>
      <c r="F97" s="6">
        <f>F98*F94</f>
        <v>3691.7372</v>
      </c>
      <c r="G97" s="6">
        <f t="shared" ref="G97:J97" si="69">G98*G94</f>
        <v>3770.3685760000003</v>
      </c>
      <c r="H97" s="6">
        <f t="shared" si="69"/>
        <v>3886.3969872000002</v>
      </c>
      <c r="I97" s="6">
        <f t="shared" si="69"/>
        <v>3585.0725514239998</v>
      </c>
      <c r="J97" s="6">
        <f t="shared" si="69"/>
        <v>3305.9160187871998</v>
      </c>
    </row>
    <row r="98" spans="2:10" x14ac:dyDescent="0.2">
      <c r="B98" s="7" t="s">
        <v>127</v>
      </c>
      <c r="C98" s="25">
        <f>C97/C94</f>
        <v>0.59650242532550424</v>
      </c>
      <c r="D98" s="25">
        <f t="shared" ref="D98:E98" si="70">D97/D94</f>
        <v>0.57635997313633314</v>
      </c>
      <c r="E98" s="25">
        <f t="shared" si="70"/>
        <v>0.5661285754743699</v>
      </c>
      <c r="F98" s="26">
        <f>E98-1%</f>
        <v>0.55612857547436989</v>
      </c>
      <c r="G98" s="26">
        <f t="shared" ref="G98:J98" si="71">F98-1%</f>
        <v>0.54612857547436988</v>
      </c>
      <c r="H98" s="26">
        <f t="shared" si="71"/>
        <v>0.53612857547436987</v>
      </c>
      <c r="I98" s="26">
        <f t="shared" si="71"/>
        <v>0.52612857547436986</v>
      </c>
      <c r="J98" s="26">
        <f t="shared" si="71"/>
        <v>0.51612857547436986</v>
      </c>
    </row>
    <row r="100" spans="2:10" x14ac:dyDescent="0.2">
      <c r="B100" t="s">
        <v>128</v>
      </c>
      <c r="C100" s="6">
        <f>-C11</f>
        <v>1271</v>
      </c>
      <c r="D100" s="6">
        <f>-D11</f>
        <v>1231</v>
      </c>
      <c r="E100" s="6">
        <f>-E11</f>
        <v>1167</v>
      </c>
      <c r="F100" s="6">
        <f>F101*F94</f>
        <v>1116.8948399999999</v>
      </c>
      <c r="G100" s="6">
        <f t="shared" ref="G100:J100" si="72">G101*G94</f>
        <v>1182.2820672</v>
      </c>
      <c r="H100" s="6">
        <f t="shared" si="72"/>
        <v>1263.1431758400001</v>
      </c>
      <c r="I100" s="6">
        <f t="shared" si="72"/>
        <v>1207.7967702527999</v>
      </c>
      <c r="J100" s="6">
        <f t="shared" si="72"/>
        <v>1154.54461790304</v>
      </c>
    </row>
    <row r="101" spans="2:10" x14ac:dyDescent="0.2">
      <c r="B101" s="7" t="s">
        <v>129</v>
      </c>
      <c r="C101" s="25">
        <f>C100/C6</f>
        <v>0.16224151136073525</v>
      </c>
      <c r="D101" s="25">
        <f>D100/D6</f>
        <v>0.16534586971121559</v>
      </c>
      <c r="E101" s="25">
        <f>E100/E6</f>
        <v>0.16525063721325403</v>
      </c>
      <c r="F101" s="26">
        <f>E101+0.3%</f>
        <v>0.16825063721325403</v>
      </c>
      <c r="G101" s="26">
        <f t="shared" ref="G101:J101" si="73">F101+0.3%</f>
        <v>0.17125063721325404</v>
      </c>
      <c r="H101" s="26">
        <f t="shared" si="73"/>
        <v>0.17425063721325404</v>
      </c>
      <c r="I101" s="26">
        <f t="shared" si="73"/>
        <v>0.17725063721325404</v>
      </c>
      <c r="J101" s="26">
        <f t="shared" si="73"/>
        <v>0.18025063721325404</v>
      </c>
    </row>
    <row r="103" spans="2:10" x14ac:dyDescent="0.2">
      <c r="B103" t="s">
        <v>130</v>
      </c>
      <c r="C103" s="6">
        <f>-C12</f>
        <v>992</v>
      </c>
      <c r="D103" s="6">
        <f>-D12</f>
        <v>991</v>
      </c>
      <c r="E103" s="6">
        <f>-E12</f>
        <v>989</v>
      </c>
      <c r="F103" s="6">
        <f>F104*F94</f>
        <v>949.57483999999999</v>
      </c>
      <c r="G103" s="6">
        <f t="shared" ref="G103:J103" si="74">G104*G94</f>
        <v>1008.2692672000002</v>
      </c>
      <c r="H103" s="6">
        <f t="shared" si="74"/>
        <v>1080.4297358400001</v>
      </c>
      <c r="I103" s="6">
        <f t="shared" si="74"/>
        <v>1036.0461366528</v>
      </c>
      <c r="J103" s="6">
        <f t="shared" si="74"/>
        <v>993.09902231904005</v>
      </c>
    </row>
    <row r="104" spans="2:10" x14ac:dyDescent="0.2">
      <c r="B104" s="7" t="s">
        <v>129</v>
      </c>
      <c r="C104" s="25">
        <f>C103/C6</f>
        <v>0.12662752106203728</v>
      </c>
      <c r="D104" s="25">
        <f>D103/D6</f>
        <v>0.1331094694425789</v>
      </c>
      <c r="E104" s="25">
        <f>E103/E6</f>
        <v>0.14004531294250921</v>
      </c>
      <c r="F104" s="26">
        <f>E104+0.3%</f>
        <v>0.14304531294250922</v>
      </c>
      <c r="G104" s="26">
        <f t="shared" ref="G104:J104" si="75">F104+0.3%</f>
        <v>0.14604531294250922</v>
      </c>
      <c r="H104" s="26">
        <f t="shared" si="75"/>
        <v>0.14904531294250922</v>
      </c>
      <c r="I104" s="26">
        <f t="shared" si="75"/>
        <v>0.15204531294250923</v>
      </c>
      <c r="J104" s="26">
        <f t="shared" si="75"/>
        <v>0.15504531294250923</v>
      </c>
    </row>
    <row r="106" spans="2:10" x14ac:dyDescent="0.2">
      <c r="B106" t="s">
        <v>131</v>
      </c>
      <c r="C106" s="6">
        <f>C16</f>
        <v>-61</v>
      </c>
      <c r="D106" s="6">
        <f>D16</f>
        <v>0</v>
      </c>
      <c r="E106" s="6">
        <f>E16</f>
        <v>1</v>
      </c>
      <c r="F106" s="28">
        <v>0</v>
      </c>
      <c r="G106" s="28">
        <v>0</v>
      </c>
      <c r="H106" s="28">
        <v>0</v>
      </c>
      <c r="I106" s="28">
        <v>0</v>
      </c>
      <c r="J106" s="28">
        <v>0</v>
      </c>
    </row>
    <row r="108" spans="2:10" x14ac:dyDescent="0.2">
      <c r="B108" t="s">
        <v>132</v>
      </c>
      <c r="C108" s="6">
        <f>-C18</f>
        <v>591</v>
      </c>
      <c r="D108" s="6">
        <f>-D18</f>
        <v>530</v>
      </c>
      <c r="E108" s="6">
        <f>-E18</f>
        <v>478</v>
      </c>
      <c r="F108" s="6">
        <f>F109*F17</f>
        <v>406.31687999999997</v>
      </c>
      <c r="G108" s="6">
        <f>G109*G17</f>
        <v>394.95431040000005</v>
      </c>
      <c r="H108" s="6">
        <f>H109*H17</f>
        <v>385.70601887999999</v>
      </c>
      <c r="I108" s="6">
        <f>I109*I17</f>
        <v>335.30741112959993</v>
      </c>
      <c r="J108" s="6">
        <f>J109*J17</f>
        <v>289.56809464127991</v>
      </c>
    </row>
    <row r="109" spans="2:10" x14ac:dyDescent="0.2">
      <c r="B109" s="7" t="s">
        <v>133</v>
      </c>
      <c r="C109" s="25">
        <f>C108/C17</f>
        <v>0.25159642401021709</v>
      </c>
      <c r="D109" s="25">
        <f>D108/D17</f>
        <v>0.25616239729337842</v>
      </c>
      <c r="E109" s="25">
        <f>E108/E17</f>
        <v>0.25935973955507324</v>
      </c>
      <c r="F109" s="26">
        <v>0.25</v>
      </c>
      <c r="G109" s="26">
        <v>0.25</v>
      </c>
      <c r="H109" s="26">
        <v>0.25</v>
      </c>
      <c r="I109" s="26">
        <v>0.25</v>
      </c>
      <c r="J109" s="26">
        <v>0.25</v>
      </c>
    </row>
    <row r="111" spans="2:10" x14ac:dyDescent="0.2">
      <c r="B111" t="s">
        <v>134</v>
      </c>
      <c r="C111" s="6">
        <f>C20</f>
        <v>-6</v>
      </c>
      <c r="D111" s="6">
        <f>D20</f>
        <v>0</v>
      </c>
      <c r="E111" s="6">
        <f>E20</f>
        <v>2</v>
      </c>
      <c r="F111" s="28">
        <v>0</v>
      </c>
      <c r="G111" s="28">
        <v>0</v>
      </c>
      <c r="H111" s="28">
        <v>0</v>
      </c>
      <c r="I111" s="28">
        <v>0</v>
      </c>
      <c r="J111" s="28">
        <v>0</v>
      </c>
    </row>
    <row r="113" spans="2:10" x14ac:dyDescent="0.2">
      <c r="B113" s="2"/>
      <c r="C113" s="126" t="s">
        <v>15</v>
      </c>
      <c r="D113" s="126"/>
      <c r="E113" s="127"/>
      <c r="F113" s="128" t="s">
        <v>125</v>
      </c>
      <c r="G113" s="126"/>
      <c r="H113" s="126"/>
      <c r="I113" s="126"/>
      <c r="J113" s="126"/>
    </row>
    <row r="114" spans="2:10" x14ac:dyDescent="0.2">
      <c r="B114" s="10" t="s">
        <v>135</v>
      </c>
      <c r="C114" s="10">
        <v>2022</v>
      </c>
      <c r="D114" s="10">
        <v>2023</v>
      </c>
      <c r="E114" s="10">
        <v>2024</v>
      </c>
      <c r="F114" s="22">
        <v>2025</v>
      </c>
      <c r="G114" s="21">
        <f>F114+1</f>
        <v>2026</v>
      </c>
      <c r="H114" s="21">
        <f t="shared" ref="H114" si="76">G114+1</f>
        <v>2027</v>
      </c>
      <c r="I114" s="21">
        <f t="shared" ref="I114" si="77">H114+1</f>
        <v>2028</v>
      </c>
      <c r="J114" s="21">
        <f t="shared" ref="J114" si="78">I114+1</f>
        <v>2029</v>
      </c>
    </row>
    <row r="115" spans="2:10" x14ac:dyDescent="0.2">
      <c r="B115" t="s">
        <v>137</v>
      </c>
      <c r="C115" s="6">
        <f t="shared" ref="C115:E116" si="79">C28</f>
        <v>17</v>
      </c>
      <c r="D115" s="6">
        <f t="shared" si="79"/>
        <v>15</v>
      </c>
      <c r="E115" s="6">
        <f t="shared" si="79"/>
        <v>16</v>
      </c>
      <c r="F115" s="28">
        <f>E115</f>
        <v>16</v>
      </c>
      <c r="G115" s="28">
        <f t="shared" ref="G115:J115" si="80">F115</f>
        <v>16</v>
      </c>
      <c r="H115" s="28">
        <f t="shared" si="80"/>
        <v>16</v>
      </c>
      <c r="I115" s="28">
        <f t="shared" si="80"/>
        <v>16</v>
      </c>
      <c r="J115" s="28">
        <f t="shared" si="80"/>
        <v>16</v>
      </c>
    </row>
    <row r="116" spans="2:10" x14ac:dyDescent="0.2">
      <c r="B116" t="s">
        <v>138</v>
      </c>
      <c r="C116" s="6">
        <f t="shared" si="79"/>
        <v>62</v>
      </c>
      <c r="D116" s="6">
        <f t="shared" si="79"/>
        <v>1</v>
      </c>
      <c r="E116" s="6">
        <f t="shared" si="79"/>
        <v>0</v>
      </c>
      <c r="F116" s="28">
        <v>0</v>
      </c>
      <c r="G116" s="28">
        <v>0</v>
      </c>
      <c r="H116" s="28">
        <v>0</v>
      </c>
      <c r="I116" s="28">
        <v>0</v>
      </c>
      <c r="J116" s="28">
        <v>0</v>
      </c>
    </row>
    <row r="118" spans="2:10" x14ac:dyDescent="0.2">
      <c r="B118" t="s">
        <v>55</v>
      </c>
      <c r="C118" s="6">
        <f>C30</f>
        <v>-151</v>
      </c>
      <c r="D118" s="6">
        <f>D30</f>
        <v>-135</v>
      </c>
      <c r="E118" s="6">
        <f>E30</f>
        <v>-145</v>
      </c>
      <c r="F118" s="6">
        <f>F119*F18</f>
        <v>-121.89506399999999</v>
      </c>
      <c r="G118" s="6">
        <f>G119*G18</f>
        <v>-78.990862079999999</v>
      </c>
      <c r="H118" s="6">
        <f>H119*H18</f>
        <v>-38.570601887999992</v>
      </c>
      <c r="I118" s="6">
        <f>I119*I18</f>
        <v>0</v>
      </c>
      <c r="J118" s="6">
        <f>J119*J18</f>
        <v>28.956809464127993</v>
      </c>
    </row>
    <row r="119" spans="2:10" x14ac:dyDescent="0.2">
      <c r="B119" s="7" t="s">
        <v>139</v>
      </c>
      <c r="C119" s="25">
        <f>C118/C18</f>
        <v>0.25549915397631134</v>
      </c>
      <c r="D119" s="25">
        <f>D118/D18</f>
        <v>0.25471698113207547</v>
      </c>
      <c r="E119" s="25">
        <f>E118/E18</f>
        <v>0.30334728033472802</v>
      </c>
      <c r="F119" s="26">
        <v>0.3</v>
      </c>
      <c r="G119" s="26">
        <f>F119-10%</f>
        <v>0.19999999999999998</v>
      </c>
      <c r="H119" s="26">
        <f t="shared" ref="H119:J119" si="81">G119-10%</f>
        <v>9.9999999999999978E-2</v>
      </c>
      <c r="I119" s="26">
        <f t="shared" si="81"/>
        <v>0</v>
      </c>
      <c r="J119" s="26">
        <f t="shared" si="81"/>
        <v>-0.1</v>
      </c>
    </row>
    <row r="121" spans="2:10" x14ac:dyDescent="0.2">
      <c r="B121" t="s">
        <v>140</v>
      </c>
      <c r="C121" s="6">
        <f>-C39</f>
        <v>65</v>
      </c>
      <c r="D121" s="6">
        <f>-D39</f>
        <v>56</v>
      </c>
      <c r="E121" s="6">
        <f>-E39</f>
        <v>54</v>
      </c>
      <c r="F121" s="6">
        <f>F122*F6</f>
        <v>49.787099999999995</v>
      </c>
      <c r="G121" s="6">
        <f>G122*G6</f>
        <v>51.778584000000002</v>
      </c>
      <c r="H121" s="6">
        <f>H122*H6</f>
        <v>54.367513199999998</v>
      </c>
      <c r="I121" s="6">
        <f>I122*I6</f>
        <v>51.105462407999994</v>
      </c>
      <c r="J121" s="6">
        <f>J122*J6</f>
        <v>48.039134663519995</v>
      </c>
    </row>
    <row r="122" spans="2:10" x14ac:dyDescent="0.2">
      <c r="B122" s="7" t="s">
        <v>129</v>
      </c>
      <c r="C122" s="25">
        <f>-C39/C6</f>
        <v>8.2971661986213936E-3</v>
      </c>
      <c r="D122" s="25">
        <f>-D39/D6</f>
        <v>7.5218267293485561E-3</v>
      </c>
      <c r="E122" s="25">
        <f>-E39/E6</f>
        <v>7.6465590484282074E-3</v>
      </c>
      <c r="F122" s="26">
        <v>7.4999999999999997E-3</v>
      </c>
      <c r="G122" s="26">
        <v>7.4999999999999997E-3</v>
      </c>
      <c r="H122" s="26">
        <v>7.4999999999999997E-3</v>
      </c>
      <c r="I122" s="26">
        <v>7.4999999999999997E-3</v>
      </c>
      <c r="J122" s="26">
        <v>7.4999999999999997E-3</v>
      </c>
    </row>
    <row r="124" spans="2:10" x14ac:dyDescent="0.2">
      <c r="B124" t="s">
        <v>144</v>
      </c>
      <c r="C124" s="6">
        <f>C40</f>
        <v>27</v>
      </c>
      <c r="D124" s="6">
        <f>D40</f>
        <v>-4</v>
      </c>
      <c r="E124" s="6">
        <f>E40</f>
        <v>-17</v>
      </c>
      <c r="F124" s="28">
        <v>-5</v>
      </c>
      <c r="G124" s="28">
        <v>-5</v>
      </c>
      <c r="H124" s="28">
        <v>-5</v>
      </c>
      <c r="I124" s="28">
        <v>-5</v>
      </c>
      <c r="J124" s="28">
        <v>-5</v>
      </c>
    </row>
    <row r="126" spans="2:10" x14ac:dyDescent="0.2">
      <c r="B126" t="s">
        <v>142</v>
      </c>
      <c r="C126" s="6">
        <f>-C43</f>
        <v>2492</v>
      </c>
      <c r="D126" s="6">
        <f>-D43</f>
        <v>2359</v>
      </c>
      <c r="E126" s="6">
        <f>-E43</f>
        <v>2142</v>
      </c>
      <c r="F126" s="6">
        <f>F127*F6</f>
        <v>2076.1686421342242</v>
      </c>
      <c r="G126" s="6">
        <f>G127*G6</f>
        <v>2159.2153878195936</v>
      </c>
      <c r="H126" s="6">
        <f>H127*H6</f>
        <v>2267.1761572105734</v>
      </c>
      <c r="I126" s="6">
        <f>I127*I6</f>
        <v>2131.1455877779385</v>
      </c>
      <c r="J126" s="6">
        <f>J127*J6</f>
        <v>2003.2768525112624</v>
      </c>
    </row>
    <row r="127" spans="2:10" x14ac:dyDescent="0.2">
      <c r="B127" s="7" t="s">
        <v>129</v>
      </c>
      <c r="C127" s="25">
        <f>C126/C6</f>
        <v>0.31810058718406942</v>
      </c>
      <c r="D127" s="25">
        <f>D126/D6</f>
        <v>0.31685695097380795</v>
      </c>
      <c r="E127" s="25">
        <f>E126/E6</f>
        <v>0.30331350892098558</v>
      </c>
      <c r="F127" s="26">
        <f>AVERAGE(C127:E127)</f>
        <v>0.31275701569295428</v>
      </c>
      <c r="G127" s="26">
        <f>F127</f>
        <v>0.31275701569295428</v>
      </c>
      <c r="H127" s="26">
        <f t="shared" ref="H127:J127" si="82">G127</f>
        <v>0.31275701569295428</v>
      </c>
      <c r="I127" s="26">
        <f t="shared" si="82"/>
        <v>0.31275701569295428</v>
      </c>
      <c r="J127" s="26">
        <f t="shared" si="82"/>
        <v>0.31275701569295428</v>
      </c>
    </row>
    <row r="129" spans="2:10" x14ac:dyDescent="0.2">
      <c r="B129" t="s">
        <v>141</v>
      </c>
      <c r="C129" s="6">
        <f>C44</f>
        <v>6</v>
      </c>
      <c r="D129" s="6">
        <f>D44</f>
        <v>4</v>
      </c>
      <c r="E129" s="6">
        <f>E44</f>
        <v>-12</v>
      </c>
      <c r="F129" s="28">
        <f>AVERAGE(C129:E129)</f>
        <v>-0.66666666666666663</v>
      </c>
      <c r="G129" s="28">
        <f>F129</f>
        <v>-0.66666666666666663</v>
      </c>
      <c r="H129" s="28">
        <f t="shared" ref="H129:J129" si="83">G129</f>
        <v>-0.66666666666666663</v>
      </c>
      <c r="I129" s="28">
        <f t="shared" si="83"/>
        <v>-0.66666666666666663</v>
      </c>
      <c r="J129" s="28">
        <f t="shared" si="83"/>
        <v>-0.66666666666666663</v>
      </c>
    </row>
    <row r="131" spans="2:10" x14ac:dyDescent="0.2">
      <c r="B131" s="2"/>
      <c r="C131" s="126" t="s">
        <v>15</v>
      </c>
      <c r="D131" s="126"/>
      <c r="E131" s="127"/>
      <c r="F131" s="128" t="s">
        <v>125</v>
      </c>
      <c r="G131" s="126"/>
      <c r="H131" s="126"/>
      <c r="I131" s="126"/>
      <c r="J131" s="126"/>
    </row>
    <row r="132" spans="2:10" x14ac:dyDescent="0.2">
      <c r="B132" s="10" t="s">
        <v>34</v>
      </c>
      <c r="C132" s="10">
        <v>2022</v>
      </c>
      <c r="D132" s="10">
        <v>2023</v>
      </c>
      <c r="E132" s="10">
        <v>2024</v>
      </c>
      <c r="F132" s="22">
        <v>2025</v>
      </c>
      <c r="G132" s="21">
        <f>F132+1</f>
        <v>2026</v>
      </c>
      <c r="H132" s="21">
        <f t="shared" ref="H132" si="84">G132+1</f>
        <v>2027</v>
      </c>
      <c r="I132" s="21">
        <f t="shared" ref="I132" si="85">H132+1</f>
        <v>2028</v>
      </c>
      <c r="J132" s="21">
        <f t="shared" ref="J132" si="86">I132+1</f>
        <v>2029</v>
      </c>
    </row>
    <row r="133" spans="2:10" x14ac:dyDescent="0.2">
      <c r="B133" t="s">
        <v>38</v>
      </c>
      <c r="D133" s="6">
        <f>D56</f>
        <v>1346</v>
      </c>
      <c r="E133" s="6">
        <f>E56</f>
        <v>1245</v>
      </c>
      <c r="F133" s="6">
        <f>F134*F6</f>
        <v>1143.7468799999999</v>
      </c>
      <c r="G133" s="6">
        <f>G134*G6</f>
        <v>1161.8815104</v>
      </c>
      <c r="H133" s="6">
        <f>H134*H6</f>
        <v>1190.97957888</v>
      </c>
      <c r="I133" s="6">
        <f>I134*I6</f>
        <v>1092.2645575295999</v>
      </c>
      <c r="J133" s="6">
        <f>J134*J6</f>
        <v>1001.1078122572799</v>
      </c>
    </row>
    <row r="134" spans="2:10" x14ac:dyDescent="0.2">
      <c r="B134" s="7" t="s">
        <v>129</v>
      </c>
      <c r="D134" s="25">
        <f>D133/D6</f>
        <v>0.18079247817327065</v>
      </c>
      <c r="E134" s="25">
        <f>E133/E6</f>
        <v>0.17629566694987256</v>
      </c>
      <c r="F134" s="26">
        <f>E134-0.4%</f>
        <v>0.17229566694987256</v>
      </c>
      <c r="G134" s="26">
        <f t="shared" ref="G134:J134" si="87">F134-0.4%</f>
        <v>0.16829566694987255</v>
      </c>
      <c r="H134" s="26">
        <f t="shared" si="87"/>
        <v>0.16429566694987255</v>
      </c>
      <c r="I134" s="26">
        <f t="shared" si="87"/>
        <v>0.16029566694987255</v>
      </c>
      <c r="J134" s="26">
        <f t="shared" si="87"/>
        <v>0.15629566694987254</v>
      </c>
    </row>
    <row r="136" spans="2:10" x14ac:dyDescent="0.2">
      <c r="B136" t="s">
        <v>39</v>
      </c>
      <c r="D136" s="6">
        <f>D57</f>
        <v>53</v>
      </c>
      <c r="E136" s="6">
        <f>E57</f>
        <v>64</v>
      </c>
      <c r="F136" s="6">
        <f>F137*F6</f>
        <v>63.479140000000001</v>
      </c>
      <c r="G136" s="6">
        <f>G137*G6</f>
        <v>69.470211200000008</v>
      </c>
      <c r="H136" s="6">
        <f>H137*H6</f>
        <v>76.568222640000002</v>
      </c>
      <c r="I136" s="6">
        <f>I137*I6</f>
        <v>75.381160108800003</v>
      </c>
      <c r="J136" s="6">
        <f>J137*J6</f>
        <v>74.060899479840003</v>
      </c>
    </row>
    <row r="137" spans="2:10" x14ac:dyDescent="0.2">
      <c r="B137" s="7" t="s">
        <v>129</v>
      </c>
      <c r="D137" s="25">
        <f>D136/D6</f>
        <v>7.1188717259905981E-3</v>
      </c>
      <c r="E137" s="25">
        <f>E136/E6</f>
        <v>9.0625885018408379E-3</v>
      </c>
      <c r="F137" s="26">
        <f>E137+0.05%</f>
        <v>9.5625885018408383E-3</v>
      </c>
      <c r="G137" s="26">
        <f t="shared" ref="G137:J137" si="88">F137+0.05%</f>
        <v>1.0062588501840839E-2</v>
      </c>
      <c r="H137" s="26">
        <f t="shared" si="88"/>
        <v>1.0562588501840839E-2</v>
      </c>
      <c r="I137" s="26">
        <f t="shared" si="88"/>
        <v>1.106258850184084E-2</v>
      </c>
      <c r="J137" s="26">
        <f t="shared" si="88"/>
        <v>1.156258850184084E-2</v>
      </c>
    </row>
    <row r="139" spans="2:10" x14ac:dyDescent="0.2">
      <c r="B139" t="s">
        <v>42</v>
      </c>
      <c r="D139" s="6">
        <f>D61</f>
        <v>706</v>
      </c>
      <c r="E139" s="6">
        <f>E61</f>
        <v>639</v>
      </c>
      <c r="F139" s="6">
        <f>F140*F6</f>
        <v>574.10687999999993</v>
      </c>
      <c r="G139" s="6">
        <f>G140*G6</f>
        <v>569.45591039999999</v>
      </c>
      <c r="H139" s="6">
        <f>H140*H6</f>
        <v>568.93269887999998</v>
      </c>
      <c r="I139" s="6">
        <f>I140*I6</f>
        <v>507.54049032959989</v>
      </c>
      <c r="J139" s="6">
        <f>J140*J6</f>
        <v>451.46718908927988</v>
      </c>
    </row>
    <row r="140" spans="2:10" x14ac:dyDescent="0.2">
      <c r="B140" s="7" t="s">
        <v>129</v>
      </c>
      <c r="D140" s="25">
        <f>D139/D6</f>
        <v>9.4828744123572867E-2</v>
      </c>
      <c r="E140" s="25">
        <f>E139/E6</f>
        <v>9.0484282073067121E-2</v>
      </c>
      <c r="F140" s="26">
        <f>E140-0.4%</f>
        <v>8.6484282073067117E-2</v>
      </c>
      <c r="G140" s="26">
        <f t="shared" ref="G140:J140" si="89">F140-0.4%</f>
        <v>8.2484282073067114E-2</v>
      </c>
      <c r="H140" s="26">
        <f t="shared" si="89"/>
        <v>7.848428207306711E-2</v>
      </c>
      <c r="I140" s="26">
        <f t="shared" si="89"/>
        <v>7.4484282073067107E-2</v>
      </c>
      <c r="J140" s="26">
        <f t="shared" si="89"/>
        <v>7.0484282073067103E-2</v>
      </c>
    </row>
    <row r="142" spans="2:10" x14ac:dyDescent="0.2">
      <c r="B142" t="s">
        <v>46</v>
      </c>
      <c r="D142" s="6">
        <f>D65</f>
        <v>29</v>
      </c>
      <c r="E142" s="6">
        <f>E65</f>
        <v>94</v>
      </c>
      <c r="F142" s="6">
        <f>F143*F6</f>
        <v>101.63656</v>
      </c>
      <c r="G142" s="6">
        <f>G143*G6</f>
        <v>119.5096448</v>
      </c>
      <c r="H142" s="6">
        <f>H143*H6</f>
        <v>139.98313056000001</v>
      </c>
      <c r="I142" s="6">
        <f>I143*I6</f>
        <v>145.21226603520003</v>
      </c>
      <c r="J142" s="6">
        <f>J143*J6</f>
        <v>149.30996598336003</v>
      </c>
    </row>
    <row r="143" spans="2:10" x14ac:dyDescent="0.2">
      <c r="B143" s="7" t="s">
        <v>129</v>
      </c>
      <c r="D143" s="25">
        <f>D142/D6</f>
        <v>3.8952316991269307E-3</v>
      </c>
      <c r="E143" s="25">
        <f>E142/E6</f>
        <v>1.3310676862078732E-2</v>
      </c>
      <c r="F143" s="26">
        <f>E143+0.2%</f>
        <v>1.5310676862078732E-2</v>
      </c>
      <c r="G143" s="26">
        <f t="shared" ref="G143:J143" si="90">F143+0.2%</f>
        <v>1.7310676862078732E-2</v>
      </c>
      <c r="H143" s="26">
        <f t="shared" si="90"/>
        <v>1.9310676862078734E-2</v>
      </c>
      <c r="I143" s="26">
        <f t="shared" si="90"/>
        <v>2.1310676862078735E-2</v>
      </c>
      <c r="J143" s="26">
        <f t="shared" si="90"/>
        <v>2.3310676862078737E-2</v>
      </c>
    </row>
    <row r="145" spans="2:10" x14ac:dyDescent="0.2">
      <c r="B145" t="s">
        <v>146</v>
      </c>
      <c r="D145" s="6">
        <f>D72</f>
        <v>105</v>
      </c>
      <c r="E145" s="6">
        <f>E72</f>
        <v>102</v>
      </c>
      <c r="F145" s="6">
        <f>F146*-F13</f>
        <v>97.744015864000005</v>
      </c>
      <c r="G145" s="6">
        <f t="shared" ref="G145:J145" si="91">G146*-G13</f>
        <v>103.61307811712001</v>
      </c>
      <c r="H145" s="6">
        <f t="shared" si="91"/>
        <v>110.85099872246401</v>
      </c>
      <c r="I145" s="6">
        <f t="shared" si="91"/>
        <v>106.13376949663488</v>
      </c>
      <c r="J145" s="6">
        <f t="shared" si="91"/>
        <v>101.5835441825044</v>
      </c>
    </row>
    <row r="146" spans="2:10" x14ac:dyDescent="0.2">
      <c r="B146" s="7" t="s">
        <v>148</v>
      </c>
      <c r="D146" s="25">
        <f>D145/-D13</f>
        <v>4.7254725472547256E-2</v>
      </c>
      <c r="E146" s="25">
        <f>E145/-E13</f>
        <v>4.7309833024118737E-2</v>
      </c>
      <c r="F146" s="26">
        <v>4.7300000000000002E-2</v>
      </c>
      <c r="G146" s="26">
        <v>4.7300000000000002E-2</v>
      </c>
      <c r="H146" s="26">
        <v>4.7300000000000002E-2</v>
      </c>
      <c r="I146" s="26">
        <v>4.7300000000000002E-2</v>
      </c>
      <c r="J146" s="26">
        <v>4.7300000000000002E-2</v>
      </c>
    </row>
    <row r="148" spans="2:10" x14ac:dyDescent="0.2">
      <c r="B148" t="s">
        <v>51</v>
      </c>
      <c r="D148" s="6">
        <f>D73</f>
        <v>116</v>
      </c>
      <c r="E148" s="6">
        <f>E73</f>
        <v>135</v>
      </c>
      <c r="F148" s="6">
        <f>F149*F6</f>
        <v>153.45311999999998</v>
      </c>
      <c r="G148" s="6">
        <f t="shared" ref="G148:J148" si="92">G149*G6</f>
        <v>187.2064896</v>
      </c>
      <c r="H148" s="6">
        <f t="shared" si="92"/>
        <v>225.56282112</v>
      </c>
      <c r="I148" s="6">
        <f t="shared" si="92"/>
        <v>239.28529847039999</v>
      </c>
      <c r="J148" s="6">
        <f t="shared" si="92"/>
        <v>250.54905238272002</v>
      </c>
    </row>
    <row r="149" spans="2:10" x14ac:dyDescent="0.2">
      <c r="B149" s="7" t="s">
        <v>129</v>
      </c>
      <c r="D149" s="25">
        <f>D148/D6</f>
        <v>1.5580926796507723E-2</v>
      </c>
      <c r="E149" s="25">
        <f t="shared" ref="E149" si="93">E148/E6</f>
        <v>1.9116397621070518E-2</v>
      </c>
      <c r="F149" s="26">
        <f>E149+0.4%</f>
        <v>2.3116397621070518E-2</v>
      </c>
      <c r="G149" s="26">
        <f t="shared" ref="G149:J149" si="94">F149+0.4%</f>
        <v>2.7116397621070518E-2</v>
      </c>
      <c r="H149" s="26">
        <f t="shared" si="94"/>
        <v>3.1116397621070518E-2</v>
      </c>
      <c r="I149" s="26">
        <f t="shared" si="94"/>
        <v>3.5116397621070522E-2</v>
      </c>
      <c r="J149" s="26">
        <f t="shared" si="94"/>
        <v>3.9116397621070526E-2</v>
      </c>
    </row>
    <row r="151" spans="2:10" x14ac:dyDescent="0.2">
      <c r="B151" t="s">
        <v>57</v>
      </c>
      <c r="D151" s="6">
        <f>D74</f>
        <v>233</v>
      </c>
      <c r="E151" s="6">
        <f>E74</f>
        <v>198</v>
      </c>
      <c r="F151" s="6">
        <f>F152*-F7</f>
        <v>181.57012173054829</v>
      </c>
      <c r="G151" s="6">
        <f t="shared" ref="G151:J151" si="95">G152*-G7</f>
        <v>183.68682452754047</v>
      </c>
      <c r="H151" s="6">
        <f t="shared" si="95"/>
        <v>187.03281847247621</v>
      </c>
      <c r="I151" s="6">
        <f t="shared" si="95"/>
        <v>169.91395922030884</v>
      </c>
      <c r="J151" s="6">
        <f t="shared" si="95"/>
        <v>153.79173185459248</v>
      </c>
    </row>
    <row r="152" spans="2:10" x14ac:dyDescent="0.2">
      <c r="B152" s="7" t="s">
        <v>147</v>
      </c>
      <c r="D152" s="25">
        <f>D151/-D7</f>
        <v>7.3874445149017115E-2</v>
      </c>
      <c r="E152" s="25">
        <f>E151/-E7</f>
        <v>6.4621409921671022E-2</v>
      </c>
      <c r="F152" s="26">
        <f>E152-0.3%</f>
        <v>6.1621409921671019E-2</v>
      </c>
      <c r="G152" s="26">
        <f t="shared" ref="G152:J152" si="96">F152-0.3%</f>
        <v>5.8621409921671017E-2</v>
      </c>
      <c r="H152" s="26">
        <f t="shared" si="96"/>
        <v>5.5621409921671014E-2</v>
      </c>
      <c r="I152" s="26">
        <f t="shared" si="96"/>
        <v>5.2621409921671011E-2</v>
      </c>
      <c r="J152" s="26">
        <f t="shared" si="96"/>
        <v>4.9621409921671009E-2</v>
      </c>
    </row>
    <row r="154" spans="2:10" x14ac:dyDescent="0.2">
      <c r="B154" t="s">
        <v>52</v>
      </c>
      <c r="D154" s="6">
        <f>D75</f>
        <v>161</v>
      </c>
      <c r="E154" s="6">
        <f>E75</f>
        <v>154</v>
      </c>
      <c r="F154" s="6">
        <f>F155*-F13</f>
        <v>146.57174230285713</v>
      </c>
      <c r="G154" s="6">
        <f t="shared" ref="G154:J154" si="97">G155*-G13</f>
        <v>154.27740112274284</v>
      </c>
      <c r="H154" s="6">
        <f t="shared" si="97"/>
        <v>163.88270575248001</v>
      </c>
      <c r="I154" s="6">
        <f t="shared" si="97"/>
        <v>155.78680753658878</v>
      </c>
      <c r="J154" s="6">
        <f t="shared" si="97"/>
        <v>148.0340080581648</v>
      </c>
    </row>
    <row r="155" spans="2:10" x14ac:dyDescent="0.2">
      <c r="B155" s="7" t="s">
        <v>148</v>
      </c>
      <c r="D155" s="25">
        <f>D154/-D13</f>
        <v>7.2457245724572461E-2</v>
      </c>
      <c r="E155" s="25">
        <f>E154/-E13</f>
        <v>7.1428571428571425E-2</v>
      </c>
      <c r="F155" s="26">
        <f>E155-0.05%</f>
        <v>7.0928571428571424E-2</v>
      </c>
      <c r="G155" s="26">
        <f t="shared" ref="G155:J155" si="98">F155-0.05%</f>
        <v>7.0428571428571424E-2</v>
      </c>
      <c r="H155" s="26">
        <f t="shared" si="98"/>
        <v>6.9928571428571423E-2</v>
      </c>
      <c r="I155" s="26">
        <f t="shared" si="98"/>
        <v>6.9428571428571423E-2</v>
      </c>
      <c r="J155" s="26">
        <f t="shared" si="98"/>
        <v>6.8928571428571422E-2</v>
      </c>
    </row>
    <row r="157" spans="2:10" x14ac:dyDescent="0.2">
      <c r="B157" t="s">
        <v>56</v>
      </c>
      <c r="D157" s="6">
        <f>D80</f>
        <v>191</v>
      </c>
      <c r="E157" s="6">
        <f>E80</f>
        <v>77</v>
      </c>
      <c r="F157" s="6">
        <f>F158*-F7</f>
        <v>73.663569999999993</v>
      </c>
      <c r="G157" s="6">
        <f t="shared" ref="G157:J157" si="99">G158*-G7</f>
        <v>78.336065599999998</v>
      </c>
      <c r="H157" s="6">
        <f t="shared" si="99"/>
        <v>84.065119320000008</v>
      </c>
      <c r="I157" s="6">
        <f t="shared" si="99"/>
        <v>80.724727574399992</v>
      </c>
      <c r="J157" s="6">
        <f t="shared" si="99"/>
        <v>77.482548408719992</v>
      </c>
    </row>
    <row r="158" spans="2:10" x14ac:dyDescent="0.2">
      <c r="B158" s="7" t="s">
        <v>147</v>
      </c>
      <c r="D158" s="25">
        <f>D157/-D7</f>
        <v>6.0558021559923909E-2</v>
      </c>
      <c r="E158" s="25">
        <f>E157/-E7</f>
        <v>2.5130548302872063E-2</v>
      </c>
      <c r="F158" s="26">
        <v>2.5000000000000001E-2</v>
      </c>
      <c r="G158" s="26">
        <v>2.5000000000000001E-2</v>
      </c>
      <c r="H158" s="26">
        <v>2.5000000000000001E-2</v>
      </c>
      <c r="I158" s="26">
        <v>2.5000000000000001E-2</v>
      </c>
      <c r="J158" s="26">
        <v>2.5000000000000001E-2</v>
      </c>
    </row>
    <row r="160" spans="2:10" x14ac:dyDescent="0.2">
      <c r="B160" t="s">
        <v>58</v>
      </c>
      <c r="D160" s="6">
        <f>D81</f>
        <v>46</v>
      </c>
      <c r="E160" s="6">
        <f>E81</f>
        <v>39</v>
      </c>
      <c r="F160" s="6">
        <f>F161*-F13</f>
        <v>35.314011544489794</v>
      </c>
      <c r="G160" s="6">
        <f t="shared" ref="G160:J160" si="100">G161*-G13</f>
        <v>35.243898278138772</v>
      </c>
      <c r="H160" s="6">
        <f t="shared" si="100"/>
        <v>35.362297756388571</v>
      </c>
      <c r="I160" s="6">
        <f t="shared" si="100"/>
        <v>31.613623441634736</v>
      </c>
      <c r="J160" s="6">
        <f t="shared" si="100"/>
        <v>28.110623157266733</v>
      </c>
    </row>
    <row r="161" spans="2:10" x14ac:dyDescent="0.2">
      <c r="B161" s="7" t="s">
        <v>148</v>
      </c>
      <c r="D161" s="25">
        <f>D160/-D13</f>
        <v>2.0702070207020702E-2</v>
      </c>
      <c r="E161" s="25">
        <f>E160/-E13</f>
        <v>1.8089053803339517E-2</v>
      </c>
      <c r="F161" s="26">
        <f>E161-0.1%</f>
        <v>1.7089053803339516E-2</v>
      </c>
      <c r="G161" s="26">
        <f t="shared" ref="G161:J161" si="101">F161-0.1%</f>
        <v>1.6089053803339515E-2</v>
      </c>
      <c r="H161" s="26">
        <f t="shared" si="101"/>
        <v>1.5089053803339515E-2</v>
      </c>
      <c r="I161" s="26">
        <f t="shared" si="101"/>
        <v>1.4089053803339514E-2</v>
      </c>
      <c r="J161" s="26">
        <f t="shared" si="101"/>
        <v>1.3089053803339513E-2</v>
      </c>
    </row>
  </sheetData>
  <mergeCells count="15">
    <mergeCell ref="C113:E113"/>
    <mergeCell ref="F113:J113"/>
    <mergeCell ref="C131:E131"/>
    <mergeCell ref="F131:J131"/>
    <mergeCell ref="C51:E51"/>
    <mergeCell ref="F51:J51"/>
    <mergeCell ref="C92:E92"/>
    <mergeCell ref="F92:J92"/>
    <mergeCell ref="S3:T3"/>
    <mergeCell ref="S23:T23"/>
    <mergeCell ref="S51:T51"/>
    <mergeCell ref="C4:E4"/>
    <mergeCell ref="F4:J4"/>
    <mergeCell ref="C23:E23"/>
    <mergeCell ref="F23:J2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62341-1574-7740-8AA5-4C35ECD64600}">
  <dimension ref="B2:J147"/>
  <sheetViews>
    <sheetView showGridLines="0" zoomScaleNormal="100" workbookViewId="0">
      <selection activeCell="C136" sqref="C136"/>
    </sheetView>
  </sheetViews>
  <sheetFormatPr baseColWidth="10" defaultRowHeight="16" x14ac:dyDescent="0.2"/>
  <cols>
    <col min="1" max="1" width="7.1640625" customWidth="1"/>
    <col min="2" max="2" width="45.1640625" customWidth="1"/>
    <col min="3" max="3" width="11.5" bestFit="1" customWidth="1"/>
    <col min="4" max="5" width="18.5" customWidth="1"/>
    <col min="6" max="6" width="18" customWidth="1"/>
    <col min="7" max="7" width="15.33203125" customWidth="1"/>
    <col min="8" max="8" width="14" customWidth="1"/>
    <col min="9" max="9" width="13" customWidth="1"/>
    <col min="10" max="10" width="13.5" customWidth="1"/>
  </cols>
  <sheetData>
    <row r="2" spans="2:10" ht="19" x14ac:dyDescent="0.25">
      <c r="B2" s="1" t="s">
        <v>152</v>
      </c>
    </row>
    <row r="4" spans="2:10" x14ac:dyDescent="0.2">
      <c r="B4" s="10" t="s">
        <v>153</v>
      </c>
      <c r="C4" s="10"/>
      <c r="D4" s="10"/>
      <c r="E4" s="10"/>
      <c r="F4" s="10"/>
      <c r="G4" s="10" t="s">
        <v>169</v>
      </c>
      <c r="H4" s="10"/>
      <c r="I4" s="10"/>
      <c r="J4" s="10"/>
    </row>
    <row r="5" spans="2:10" x14ac:dyDescent="0.2">
      <c r="B5" t="s">
        <v>154</v>
      </c>
      <c r="C5" s="31">
        <f>1/25</f>
        <v>0.04</v>
      </c>
      <c r="G5" t="s">
        <v>166</v>
      </c>
      <c r="J5" s="26">
        <v>7.0000000000000007E-2</v>
      </c>
    </row>
    <row r="6" spans="2:10" x14ac:dyDescent="0.2">
      <c r="B6" t="s">
        <v>159</v>
      </c>
      <c r="C6">
        <f>C5*Parent_Shares</f>
        <v>144.15001896000001</v>
      </c>
      <c r="G6" t="s">
        <v>184</v>
      </c>
      <c r="J6" s="28">
        <v>98</v>
      </c>
    </row>
    <row r="7" spans="2:10" x14ac:dyDescent="0.2">
      <c r="B7" t="s">
        <v>268</v>
      </c>
      <c r="C7" s="6">
        <f>C8*C6</f>
        <v>7823.1153311991093</v>
      </c>
    </row>
    <row r="8" spans="2:10" x14ac:dyDescent="0.2">
      <c r="B8" t="s">
        <v>161</v>
      </c>
      <c r="C8" s="6">
        <f>F85/C6</f>
        <v>54.270650726518006</v>
      </c>
      <c r="G8" t="s">
        <v>170</v>
      </c>
      <c r="H8" s="6"/>
      <c r="J8" s="28">
        <v>3000</v>
      </c>
    </row>
    <row r="9" spans="2:10" x14ac:dyDescent="0.2">
      <c r="G9" t="s">
        <v>176</v>
      </c>
      <c r="J9" s="28">
        <v>45</v>
      </c>
    </row>
    <row r="10" spans="2:10" x14ac:dyDescent="0.2">
      <c r="B10" t="s">
        <v>155</v>
      </c>
      <c r="C10" s="28">
        <v>2250</v>
      </c>
      <c r="G10" t="s">
        <v>178</v>
      </c>
      <c r="J10" s="26">
        <v>7.2499999999999995E-2</v>
      </c>
    </row>
    <row r="12" spans="2:10" x14ac:dyDescent="0.2">
      <c r="B12" t="s">
        <v>156</v>
      </c>
      <c r="C12" s="28">
        <v>37</v>
      </c>
      <c r="G12" t="s">
        <v>171</v>
      </c>
      <c r="J12" s="6">
        <f>C53</f>
        <v>80.83426864100511</v>
      </c>
    </row>
    <row r="13" spans="2:10" x14ac:dyDescent="0.2">
      <c r="G13" s="7" t="s">
        <v>172</v>
      </c>
      <c r="J13" s="6">
        <f>-C10</f>
        <v>-2250</v>
      </c>
    </row>
    <row r="14" spans="2:10" x14ac:dyDescent="0.2">
      <c r="B14" t="s">
        <v>168</v>
      </c>
      <c r="C14" s="26">
        <v>0.25</v>
      </c>
      <c r="G14" s="7" t="s">
        <v>173</v>
      </c>
      <c r="J14" s="6">
        <f>J8</f>
        <v>3000</v>
      </c>
    </row>
    <row r="15" spans="2:10" x14ac:dyDescent="0.2">
      <c r="G15" s="7" t="s">
        <v>177</v>
      </c>
      <c r="J15" s="6">
        <f>-J9</f>
        <v>-45</v>
      </c>
    </row>
    <row r="16" spans="2:10" x14ac:dyDescent="0.2">
      <c r="G16" s="4" t="s">
        <v>174</v>
      </c>
      <c r="H16" s="4"/>
      <c r="J16" s="5">
        <f>SUM(J12:J15)</f>
        <v>785.83426864100511</v>
      </c>
    </row>
    <row r="17" spans="2:10" x14ac:dyDescent="0.2">
      <c r="B17" s="106" t="s">
        <v>267</v>
      </c>
      <c r="C17" s="107">
        <f>SubCo_Market_Cap</f>
        <v>7823.1153311991093</v>
      </c>
      <c r="G17" s="4"/>
      <c r="H17" s="4"/>
      <c r="J17" s="5"/>
    </row>
    <row r="18" spans="2:10" x14ac:dyDescent="0.2">
      <c r="B18" t="s">
        <v>270</v>
      </c>
      <c r="C18" s="6">
        <f>F53</f>
        <v>785.83426864100511</v>
      </c>
      <c r="G18" s="4"/>
      <c r="H18" s="4"/>
      <c r="J18" s="5"/>
    </row>
    <row r="19" spans="2:10" x14ac:dyDescent="0.2">
      <c r="B19" t="s">
        <v>271</v>
      </c>
      <c r="C19" s="6">
        <f>F80</f>
        <v>2955</v>
      </c>
      <c r="G19" s="4"/>
      <c r="H19" s="4"/>
      <c r="J19" s="5"/>
    </row>
    <row r="20" spans="2:10" x14ac:dyDescent="0.2">
      <c r="B20" t="s">
        <v>124</v>
      </c>
      <c r="C20" s="6">
        <f>F84</f>
        <v>118</v>
      </c>
      <c r="G20" s="4"/>
      <c r="H20" s="4"/>
      <c r="J20" s="5"/>
    </row>
    <row r="21" spans="2:10" x14ac:dyDescent="0.2">
      <c r="B21" t="s">
        <v>273</v>
      </c>
      <c r="C21" s="6">
        <f>-F60</f>
        <v>-259</v>
      </c>
      <c r="G21" s="4"/>
      <c r="H21" s="4"/>
      <c r="J21" s="5"/>
    </row>
    <row r="22" spans="2:10" x14ac:dyDescent="0.2">
      <c r="B22" s="106" t="s">
        <v>272</v>
      </c>
      <c r="C22" s="107">
        <f>SUM(C17:C21)</f>
        <v>11422.949599840114</v>
      </c>
      <c r="G22" s="4"/>
      <c r="H22" s="4"/>
      <c r="J22" s="5"/>
    </row>
    <row r="23" spans="2:10" x14ac:dyDescent="0.2">
      <c r="G23" s="4"/>
      <c r="H23" s="4"/>
      <c r="J23" s="5"/>
    </row>
    <row r="24" spans="2:10" x14ac:dyDescent="0.2">
      <c r="G24" s="4"/>
      <c r="H24" s="4"/>
      <c r="J24" s="5"/>
    </row>
    <row r="26" spans="2:10" x14ac:dyDescent="0.2">
      <c r="B26" s="2"/>
      <c r="C26" s="10"/>
      <c r="D26" s="132" t="s">
        <v>162</v>
      </c>
      <c r="E26" s="133"/>
      <c r="F26" s="133"/>
      <c r="G26" s="132" t="s">
        <v>163</v>
      </c>
      <c r="H26" s="133"/>
      <c r="I26" s="133"/>
      <c r="J26" s="133"/>
    </row>
    <row r="27" spans="2:10" x14ac:dyDescent="0.2">
      <c r="B27" s="10" t="s">
        <v>216</v>
      </c>
      <c r="C27" s="46">
        <f>DATE(2025, 12,31)</f>
        <v>46022</v>
      </c>
      <c r="D27" s="67" t="s">
        <v>223</v>
      </c>
      <c r="E27" s="68" t="s">
        <v>222</v>
      </c>
      <c r="F27" s="47">
        <f>C27</f>
        <v>46022</v>
      </c>
      <c r="G27" s="48">
        <f>EOMONTH(F27,12)</f>
        <v>46387</v>
      </c>
      <c r="H27" s="46">
        <f t="shared" ref="H27:J27" si="0">EOMONTH(G27,12)</f>
        <v>46752</v>
      </c>
      <c r="I27" s="46">
        <f t="shared" si="0"/>
        <v>47118</v>
      </c>
      <c r="J27" s="46">
        <f t="shared" si="0"/>
        <v>47483</v>
      </c>
    </row>
    <row r="28" spans="2:10" x14ac:dyDescent="0.2">
      <c r="B28" t="s">
        <v>4</v>
      </c>
      <c r="C28" s="6">
        <f>Versant!F6</f>
        <v>6638.28</v>
      </c>
      <c r="D28" s="32"/>
      <c r="F28" s="33"/>
      <c r="G28" s="6">
        <f>Versant!G6</f>
        <v>6903.8112000000001</v>
      </c>
      <c r="H28" s="6">
        <f>Versant!H6</f>
        <v>7249.0017600000001</v>
      </c>
      <c r="I28" s="6">
        <f>Versant!I6</f>
        <v>6814.0616543999995</v>
      </c>
      <c r="J28" s="6">
        <f>Versant!J6</f>
        <v>6405.2179551359995</v>
      </c>
    </row>
    <row r="29" spans="2:10" x14ac:dyDescent="0.2">
      <c r="B29" t="s">
        <v>5</v>
      </c>
      <c r="C29" s="6">
        <f>Versant!F7</f>
        <v>-2946.5427999999997</v>
      </c>
      <c r="D29" s="32"/>
      <c r="F29" s="33"/>
      <c r="G29" s="6">
        <f>Versant!G7</f>
        <v>-3133.4426239999998</v>
      </c>
      <c r="H29" s="6">
        <f>Versant!H7</f>
        <v>-3362.6047727999999</v>
      </c>
      <c r="I29" s="6">
        <f>Versant!I7</f>
        <v>-3228.9891029759997</v>
      </c>
      <c r="J29" s="6">
        <f>Versant!J7</f>
        <v>-3099.3019363487997</v>
      </c>
    </row>
    <row r="30" spans="2:10" x14ac:dyDescent="0.2">
      <c r="B30" s="16" t="s">
        <v>224</v>
      </c>
      <c r="C30" s="17">
        <f>SUM(C28:C29)</f>
        <v>3691.7372</v>
      </c>
      <c r="D30" s="32"/>
      <c r="F30" s="33"/>
      <c r="G30" s="17">
        <f>SUM(G28:G29)</f>
        <v>3770.3685760000003</v>
      </c>
      <c r="H30" s="17">
        <f t="shared" ref="H30:J30" si="1">SUM(H28:H29)</f>
        <v>3886.3969872000002</v>
      </c>
      <c r="I30" s="17">
        <f t="shared" si="1"/>
        <v>3585.0725514239998</v>
      </c>
      <c r="J30" s="17">
        <f t="shared" si="1"/>
        <v>3305.9160187871998</v>
      </c>
    </row>
    <row r="31" spans="2:10" x14ac:dyDescent="0.2">
      <c r="D31" s="32"/>
      <c r="F31" s="33"/>
    </row>
    <row r="32" spans="2:10" x14ac:dyDescent="0.2">
      <c r="B32" s="4" t="s">
        <v>2</v>
      </c>
      <c r="D32" s="32"/>
      <c r="F32" s="33"/>
    </row>
    <row r="33" spans="2:10" x14ac:dyDescent="0.2">
      <c r="B33" s="7" t="s">
        <v>7</v>
      </c>
      <c r="C33" s="6">
        <f>Versant!F11</f>
        <v>-1116.8948399999999</v>
      </c>
      <c r="D33" s="32"/>
      <c r="F33" s="33"/>
      <c r="G33" s="6">
        <f>Versant!G11</f>
        <v>-1182.2820672</v>
      </c>
      <c r="H33" s="6">
        <f>Versant!H11</f>
        <v>-1263.1431758400001</v>
      </c>
      <c r="I33" s="6">
        <f>Versant!I11</f>
        <v>-1207.7967702527999</v>
      </c>
      <c r="J33" s="6">
        <f>Versant!J11</f>
        <v>-1154.54461790304</v>
      </c>
    </row>
    <row r="34" spans="2:10" x14ac:dyDescent="0.2">
      <c r="B34" s="34" t="s">
        <v>164</v>
      </c>
      <c r="C34" s="35">
        <v>0</v>
      </c>
      <c r="D34" s="36"/>
      <c r="E34" s="69"/>
      <c r="F34" s="37"/>
      <c r="G34" s="35">
        <f>-Transaction_Cost</f>
        <v>-37</v>
      </c>
      <c r="H34" s="35">
        <v>0</v>
      </c>
      <c r="I34" s="35">
        <v>0</v>
      </c>
      <c r="J34" s="35">
        <v>0</v>
      </c>
    </row>
    <row r="35" spans="2:10" x14ac:dyDescent="0.2">
      <c r="B35" s="38" t="s">
        <v>165</v>
      </c>
      <c r="C35" s="39">
        <v>0</v>
      </c>
      <c r="D35" s="40"/>
      <c r="E35" s="70"/>
      <c r="F35" s="41"/>
      <c r="G35" s="39">
        <f>G28*-$J$5</f>
        <v>-483.26678400000003</v>
      </c>
      <c r="H35" s="39">
        <f t="shared" ref="H35:J35" si="2">H28*-$J$5</f>
        <v>-507.43012320000008</v>
      </c>
      <c r="I35" s="39">
        <f t="shared" si="2"/>
        <v>-476.98431580800002</v>
      </c>
      <c r="J35" s="39">
        <f t="shared" si="2"/>
        <v>-448.36525685952</v>
      </c>
    </row>
    <row r="36" spans="2:10" x14ac:dyDescent="0.2">
      <c r="B36" s="7" t="s">
        <v>8</v>
      </c>
      <c r="C36" s="6">
        <f>Versant!F12</f>
        <v>-949.57483999999999</v>
      </c>
      <c r="D36" s="32"/>
      <c r="F36" s="33"/>
      <c r="G36" s="6">
        <f>Versant!G12</f>
        <v>-1008.2692672000002</v>
      </c>
      <c r="H36" s="6">
        <f>Versant!H12</f>
        <v>-1080.4297358400001</v>
      </c>
      <c r="I36" s="6">
        <f>Versant!I12</f>
        <v>-1036.0461366528</v>
      </c>
      <c r="J36" s="6">
        <f>Versant!J12</f>
        <v>-993.09902231904005</v>
      </c>
    </row>
    <row r="37" spans="2:10" x14ac:dyDescent="0.2">
      <c r="B37" s="16" t="s">
        <v>225</v>
      </c>
      <c r="C37" s="17">
        <f>SUM(C33:C36)</f>
        <v>-2066.4696800000002</v>
      </c>
      <c r="D37" s="32"/>
      <c r="F37" s="33"/>
      <c r="G37" s="17">
        <f>SUM(G33:G36)</f>
        <v>-2710.8181184000005</v>
      </c>
      <c r="H37" s="17">
        <f t="shared" ref="H37:J37" si="3">SUM(H33:H36)</f>
        <v>-2851.0030348800001</v>
      </c>
      <c r="I37" s="17">
        <f t="shared" si="3"/>
        <v>-2720.8272227135999</v>
      </c>
      <c r="J37" s="17">
        <f t="shared" si="3"/>
        <v>-2596.0088970816</v>
      </c>
    </row>
    <row r="38" spans="2:10" x14ac:dyDescent="0.2">
      <c r="D38" s="32"/>
      <c r="F38" s="33"/>
    </row>
    <row r="39" spans="2:10" x14ac:dyDescent="0.2">
      <c r="B39" s="4" t="s">
        <v>3</v>
      </c>
      <c r="C39" s="5">
        <f>C37+C30</f>
        <v>1625.2675199999999</v>
      </c>
      <c r="D39" s="32"/>
      <c r="F39" s="33"/>
      <c r="G39" s="5">
        <f>G37+G30</f>
        <v>1059.5504575999998</v>
      </c>
      <c r="H39" s="5">
        <f t="shared" ref="H39:J39" si="4">H37+H30</f>
        <v>1035.3939523200002</v>
      </c>
      <c r="I39" s="5">
        <f t="shared" si="4"/>
        <v>864.24532871039992</v>
      </c>
      <c r="J39" s="5">
        <f t="shared" si="4"/>
        <v>709.90712170559982</v>
      </c>
    </row>
    <row r="40" spans="2:10" x14ac:dyDescent="0.2">
      <c r="B40" s="7" t="s">
        <v>12</v>
      </c>
      <c r="C40" s="6">
        <f>Versant!F16</f>
        <v>0</v>
      </c>
      <c r="D40" s="32"/>
      <c r="F40" s="33"/>
      <c r="G40" s="6">
        <f>Versant!G16</f>
        <v>0</v>
      </c>
      <c r="H40" s="6">
        <f>Versant!H16</f>
        <v>0</v>
      </c>
      <c r="I40" s="6">
        <f>Versant!I16</f>
        <v>0</v>
      </c>
      <c r="J40" s="6">
        <f>Versant!J16</f>
        <v>0</v>
      </c>
    </row>
    <row r="41" spans="2:10" x14ac:dyDescent="0.2">
      <c r="B41" s="42" t="s">
        <v>167</v>
      </c>
      <c r="C41" s="43">
        <v>0</v>
      </c>
      <c r="D41" s="44"/>
      <c r="E41" s="71"/>
      <c r="F41" s="45"/>
      <c r="G41" s="43">
        <f>-$J$10*F80</f>
        <v>-214.23749999999998</v>
      </c>
      <c r="H41" s="43">
        <f t="shared" ref="H41:J41" si="5">-$J$10*G80</f>
        <v>-214.23749999999998</v>
      </c>
      <c r="I41" s="43">
        <f t="shared" si="5"/>
        <v>-214.23749999999998</v>
      </c>
      <c r="J41" s="43">
        <f t="shared" si="5"/>
        <v>-214.23749999999998</v>
      </c>
    </row>
    <row r="42" spans="2:10" x14ac:dyDescent="0.2">
      <c r="B42" s="4" t="s">
        <v>9</v>
      </c>
      <c r="C42" s="5">
        <f>C40+C39</f>
        <v>1625.2675199999999</v>
      </c>
      <c r="D42" s="32"/>
      <c r="F42" s="33"/>
      <c r="G42" s="5">
        <f>SUM(G39:G41)</f>
        <v>845.31295759999989</v>
      </c>
      <c r="H42" s="5">
        <f t="shared" ref="H42:J42" si="6">SUM(H39:H41)</f>
        <v>821.1564523200002</v>
      </c>
      <c r="I42" s="5">
        <f t="shared" si="6"/>
        <v>650.00782871039996</v>
      </c>
      <c r="J42" s="5">
        <f t="shared" si="6"/>
        <v>495.66962170559987</v>
      </c>
    </row>
    <row r="43" spans="2:10" x14ac:dyDescent="0.2">
      <c r="B43" s="7" t="s">
        <v>113</v>
      </c>
      <c r="C43" s="6">
        <f>Versant!F18</f>
        <v>-406.31687999999997</v>
      </c>
      <c r="D43" s="32"/>
      <c r="F43" s="33"/>
      <c r="G43" s="6">
        <f>-G42*SubCo_Marginal_Tax_Rate</f>
        <v>-211.32823939999997</v>
      </c>
      <c r="H43" s="6">
        <f>-H42*SubCo_Marginal_Tax_Rate</f>
        <v>-205.28911308000005</v>
      </c>
      <c r="I43" s="6">
        <f>-I42*SubCo_Marginal_Tax_Rate</f>
        <v>-162.50195717759999</v>
      </c>
      <c r="J43" s="6">
        <f>-J42*SubCo_Marginal_Tax_Rate</f>
        <v>-123.91740542639997</v>
      </c>
    </row>
    <row r="44" spans="2:10" x14ac:dyDescent="0.2">
      <c r="B44" s="16" t="s">
        <v>11</v>
      </c>
      <c r="C44" s="17">
        <f>C42+C43</f>
        <v>1218.95064</v>
      </c>
      <c r="D44" s="32"/>
      <c r="F44" s="33"/>
      <c r="G44" s="17">
        <f>G42+G43</f>
        <v>633.98471819999986</v>
      </c>
      <c r="H44" s="17">
        <f t="shared" ref="H44:J44" si="7">H42+H43</f>
        <v>615.86733924000009</v>
      </c>
      <c r="I44" s="17">
        <f t="shared" si="7"/>
        <v>487.50587153279997</v>
      </c>
      <c r="J44" s="17">
        <f t="shared" si="7"/>
        <v>371.7522162791999</v>
      </c>
    </row>
    <row r="45" spans="2:10" x14ac:dyDescent="0.2">
      <c r="B45" s="7" t="s">
        <v>13</v>
      </c>
      <c r="C45" s="6">
        <f>Versant!F20</f>
        <v>0</v>
      </c>
      <c r="D45" s="32"/>
      <c r="F45" s="33"/>
      <c r="G45" s="6">
        <f>Versant!G20</f>
        <v>0</v>
      </c>
      <c r="H45" s="6">
        <f>Versant!H20</f>
        <v>0</v>
      </c>
      <c r="I45" s="6">
        <f>Versant!I20</f>
        <v>0</v>
      </c>
      <c r="J45" s="6">
        <f>Versant!J20</f>
        <v>0</v>
      </c>
    </row>
    <row r="46" spans="2:10" x14ac:dyDescent="0.2">
      <c r="B46" s="16" t="s">
        <v>226</v>
      </c>
      <c r="C46" s="17">
        <f>SUM(C44:C45)</f>
        <v>1218.95064</v>
      </c>
      <c r="D46" s="32"/>
      <c r="F46" s="33"/>
      <c r="G46" s="17">
        <f>SUM(G44:G45)</f>
        <v>633.98471819999986</v>
      </c>
      <c r="H46" s="17">
        <f t="shared" ref="H46:J46" si="8">SUM(H44:H45)</f>
        <v>615.86733924000009</v>
      </c>
      <c r="I46" s="17">
        <f t="shared" si="8"/>
        <v>487.50587153279997</v>
      </c>
      <c r="J46" s="17">
        <f t="shared" si="8"/>
        <v>371.7522162791999</v>
      </c>
    </row>
    <row r="47" spans="2:10" x14ac:dyDescent="0.2">
      <c r="D47" s="32"/>
      <c r="F47" s="33"/>
    </row>
    <row r="48" spans="2:10" x14ac:dyDescent="0.2">
      <c r="D48" s="32"/>
      <c r="F48" s="33"/>
    </row>
    <row r="49" spans="2:10" x14ac:dyDescent="0.2">
      <c r="B49" s="10"/>
      <c r="C49" s="10"/>
      <c r="D49" s="132" t="s">
        <v>162</v>
      </c>
      <c r="E49" s="133"/>
      <c r="F49" s="133"/>
      <c r="G49" s="132" t="s">
        <v>163</v>
      </c>
      <c r="H49" s="133"/>
      <c r="I49" s="133"/>
      <c r="J49" s="133"/>
    </row>
    <row r="50" spans="2:10" x14ac:dyDescent="0.2">
      <c r="B50" s="10" t="s">
        <v>217</v>
      </c>
      <c r="C50" s="46">
        <f>C27</f>
        <v>46022</v>
      </c>
      <c r="D50" s="67" t="s">
        <v>223</v>
      </c>
      <c r="E50" s="68" t="s">
        <v>222</v>
      </c>
      <c r="F50" s="49">
        <f>F27</f>
        <v>46022</v>
      </c>
      <c r="G50" s="46">
        <f>G27</f>
        <v>46387</v>
      </c>
      <c r="H50" s="46">
        <f t="shared" ref="H50:J50" si="9">H27</f>
        <v>46752</v>
      </c>
      <c r="I50" s="46">
        <f t="shared" si="9"/>
        <v>47118</v>
      </c>
      <c r="J50" s="46">
        <f t="shared" si="9"/>
        <v>47483</v>
      </c>
    </row>
    <row r="51" spans="2:10" x14ac:dyDescent="0.2">
      <c r="B51" s="53" t="s">
        <v>35</v>
      </c>
      <c r="C51" s="54"/>
      <c r="D51" s="55"/>
      <c r="E51" s="55"/>
      <c r="F51" s="54"/>
      <c r="G51" s="54"/>
      <c r="H51" s="54"/>
      <c r="I51" s="54"/>
      <c r="J51" s="56"/>
    </row>
    <row r="52" spans="2:10" x14ac:dyDescent="0.2">
      <c r="B52" s="4" t="s">
        <v>36</v>
      </c>
      <c r="D52" s="32"/>
      <c r="F52" s="33"/>
    </row>
    <row r="53" spans="2:10" x14ac:dyDescent="0.2">
      <c r="B53" s="7" t="s">
        <v>37</v>
      </c>
      <c r="C53" s="6">
        <f>Versant!F55</f>
        <v>80.83426864100511</v>
      </c>
      <c r="D53" s="50">
        <f>J14</f>
        <v>3000</v>
      </c>
      <c r="E53" s="6">
        <f>J13+J15</f>
        <v>-2295</v>
      </c>
      <c r="F53" s="51">
        <f>SUM(C53:E53)</f>
        <v>785.83426864100511</v>
      </c>
      <c r="G53" s="6">
        <f>G118</f>
        <v>1954.3814898012558</v>
      </c>
      <c r="H53" s="6">
        <f t="shared" ref="H53:J53" si="10">H118</f>
        <v>3176.0879434884027</v>
      </c>
      <c r="I53" s="6">
        <f t="shared" si="10"/>
        <v>4375.041972087015</v>
      </c>
      <c r="J53" s="6">
        <f t="shared" si="10"/>
        <v>5452.605523662909</v>
      </c>
    </row>
    <row r="54" spans="2:10" x14ac:dyDescent="0.2">
      <c r="B54" s="7" t="s">
        <v>175</v>
      </c>
      <c r="C54" s="6">
        <f>Versant!F56</f>
        <v>1143.7468799999999</v>
      </c>
      <c r="D54" s="50">
        <v>0</v>
      </c>
      <c r="E54" s="6">
        <v>0</v>
      </c>
      <c r="F54" s="51">
        <f t="shared" ref="F54:F55" si="11">SUM(C54:E54)</f>
        <v>1143.7468799999999</v>
      </c>
      <c r="G54" s="6">
        <f>Versant!G56</f>
        <v>1161.8815104</v>
      </c>
      <c r="H54" s="6">
        <f>Versant!H56</f>
        <v>1190.97957888</v>
      </c>
      <c r="I54" s="6">
        <f>Versant!I56</f>
        <v>1092.2645575295999</v>
      </c>
      <c r="J54" s="6">
        <f>Versant!J56</f>
        <v>1001.1078122572799</v>
      </c>
    </row>
    <row r="55" spans="2:10" x14ac:dyDescent="0.2">
      <c r="B55" s="7" t="s">
        <v>39</v>
      </c>
      <c r="C55" s="6">
        <f>Versant!F57</f>
        <v>63.479140000000001</v>
      </c>
      <c r="D55" s="50">
        <v>0</v>
      </c>
      <c r="E55" s="6">
        <v>0</v>
      </c>
      <c r="F55" s="51">
        <f t="shared" si="11"/>
        <v>63.479140000000001</v>
      </c>
      <c r="G55" s="6">
        <f>Versant!G57</f>
        <v>69.470211200000008</v>
      </c>
      <c r="H55" s="6">
        <f>Versant!H57</f>
        <v>76.568222640000002</v>
      </c>
      <c r="I55" s="6">
        <f>Versant!I57</f>
        <v>75.381160108800003</v>
      </c>
      <c r="J55" s="6">
        <f>Versant!J57</f>
        <v>74.060899479840003</v>
      </c>
    </row>
    <row r="56" spans="2:10" x14ac:dyDescent="0.2">
      <c r="B56" s="4" t="s">
        <v>40</v>
      </c>
      <c r="C56" s="5">
        <f>SUM(C53:C55)</f>
        <v>1288.0602886410049</v>
      </c>
      <c r="D56" s="32"/>
      <c r="F56" s="52">
        <f>SUM(F53:F55)</f>
        <v>1993.0602886410049</v>
      </c>
      <c r="G56" s="5">
        <f>SUM(G53:G55)</f>
        <v>3185.7332114012556</v>
      </c>
      <c r="H56" s="5">
        <f t="shared" ref="H56:J56" si="12">SUM(H53:H55)</f>
        <v>4443.6357450084033</v>
      </c>
      <c r="I56" s="5">
        <f t="shared" si="12"/>
        <v>5542.6876897254151</v>
      </c>
      <c r="J56" s="5">
        <f t="shared" si="12"/>
        <v>6527.7742354000293</v>
      </c>
    </row>
    <row r="57" spans="2:10" x14ac:dyDescent="0.2">
      <c r="D57" s="32"/>
      <c r="F57" s="33"/>
    </row>
    <row r="58" spans="2:10" x14ac:dyDescent="0.2">
      <c r="B58" s="4" t="s">
        <v>41</v>
      </c>
      <c r="D58" s="32"/>
      <c r="F58" s="33"/>
    </row>
    <row r="59" spans="2:10" x14ac:dyDescent="0.2">
      <c r="B59" s="7" t="s">
        <v>42</v>
      </c>
      <c r="C59" s="6">
        <f>Versant!F61</f>
        <v>574.10687999999993</v>
      </c>
      <c r="D59" s="50">
        <v>0</v>
      </c>
      <c r="E59" s="6">
        <v>0</v>
      </c>
      <c r="F59" s="51">
        <f>SUM(C59:E59)</f>
        <v>574.10687999999993</v>
      </c>
      <c r="G59" s="6">
        <f>Versant!G61</f>
        <v>569.45591039999999</v>
      </c>
      <c r="H59" s="6">
        <f>Versant!H61</f>
        <v>568.93269887999998</v>
      </c>
      <c r="I59" s="6">
        <f>Versant!I61</f>
        <v>507.54049032959989</v>
      </c>
      <c r="J59" s="6">
        <f>Versant!J61</f>
        <v>451.46718908927988</v>
      </c>
    </row>
    <row r="60" spans="2:10" x14ac:dyDescent="0.2">
      <c r="B60" s="7" t="s">
        <v>43</v>
      </c>
      <c r="C60" s="6">
        <f>Versant!F62</f>
        <v>259</v>
      </c>
      <c r="D60" s="50">
        <v>0</v>
      </c>
      <c r="E60" s="6">
        <v>0</v>
      </c>
      <c r="F60" s="51">
        <f t="shared" ref="F60:F62" si="13">SUM(C60:E60)</f>
        <v>259</v>
      </c>
      <c r="G60" s="6">
        <f>Versant!G62</f>
        <v>264</v>
      </c>
      <c r="H60" s="6">
        <f>Versant!H62</f>
        <v>269</v>
      </c>
      <c r="I60" s="6">
        <f>Versant!I62</f>
        <v>274</v>
      </c>
      <c r="J60" s="6">
        <f>Versant!J62</f>
        <v>279</v>
      </c>
    </row>
    <row r="61" spans="2:10" x14ac:dyDescent="0.2">
      <c r="B61" s="7" t="s">
        <v>145</v>
      </c>
      <c r="C61" s="6">
        <f>Versant!F63</f>
        <v>2061.7871</v>
      </c>
      <c r="D61" s="50">
        <v>0</v>
      </c>
      <c r="E61" s="6">
        <v>0</v>
      </c>
      <c r="F61" s="51">
        <f t="shared" si="13"/>
        <v>2061.7871</v>
      </c>
      <c r="G61" s="6">
        <f>Versant!G63+$J$6</f>
        <v>2211.5656840000001</v>
      </c>
      <c r="H61" s="6">
        <f>Versant!H63+$J$6</f>
        <v>2265.9331972</v>
      </c>
      <c r="I61" s="6">
        <f>Versant!I63+$J$6</f>
        <v>2317.0386596079998</v>
      </c>
      <c r="J61" s="6">
        <f>Versant!J63+$J$6</f>
        <v>2365.0777942715199</v>
      </c>
    </row>
    <row r="62" spans="2:10" x14ac:dyDescent="0.2">
      <c r="B62" s="7" t="s">
        <v>45</v>
      </c>
      <c r="C62" s="6">
        <f>Versant!F64</f>
        <v>6782.4251599999998</v>
      </c>
      <c r="D62" s="50">
        <v>0</v>
      </c>
      <c r="E62" s="6">
        <v>0</v>
      </c>
      <c r="F62" s="51">
        <f t="shared" si="13"/>
        <v>6782.4251599999998</v>
      </c>
      <c r="G62" s="6">
        <f>Versant!G64</f>
        <v>5774.1558927999995</v>
      </c>
      <c r="H62" s="6">
        <f>Versant!H64</f>
        <v>4693.7261569599996</v>
      </c>
      <c r="I62" s="6">
        <f>Versant!I64</f>
        <v>3657.6800203071998</v>
      </c>
      <c r="J62" s="6">
        <f>Versant!J64</f>
        <v>2664.5809979881597</v>
      </c>
    </row>
    <row r="63" spans="2:10" x14ac:dyDescent="0.2">
      <c r="B63" s="7" t="s">
        <v>46</v>
      </c>
      <c r="C63" s="6">
        <f>Versant!F65</f>
        <v>101.63656</v>
      </c>
      <c r="D63" s="50">
        <v>0</v>
      </c>
      <c r="E63" s="6">
        <v>0</v>
      </c>
      <c r="F63" s="51">
        <f>SUM(C63:E63)</f>
        <v>101.63656</v>
      </c>
      <c r="G63" s="6">
        <f>Versant!G65</f>
        <v>119.5096448</v>
      </c>
      <c r="H63" s="6">
        <f>Versant!H65</f>
        <v>139.98313056000001</v>
      </c>
      <c r="I63" s="6">
        <f>Versant!I65</f>
        <v>145.21226603520003</v>
      </c>
      <c r="J63" s="6">
        <f>Versant!J65</f>
        <v>149.30996598336003</v>
      </c>
    </row>
    <row r="64" spans="2:10" x14ac:dyDescent="0.2">
      <c r="B64" s="4" t="s">
        <v>47</v>
      </c>
      <c r="C64" s="5">
        <f>SUM(C59:C63)</f>
        <v>9778.9557000000004</v>
      </c>
      <c r="D64" s="32"/>
      <c r="F64" s="5">
        <f>SUM(F59:F63)</f>
        <v>9778.9557000000004</v>
      </c>
      <c r="G64" s="64">
        <f>SUM(G59:G63)</f>
        <v>8938.6871319999991</v>
      </c>
      <c r="H64" s="5">
        <f>SUM(H59:H63)</f>
        <v>7937.5751835999999</v>
      </c>
      <c r="I64" s="5">
        <f t="shared" ref="I64:J64" si="14">SUM(I59:I63)</f>
        <v>6901.4714362799987</v>
      </c>
      <c r="J64" s="5">
        <f t="shared" si="14"/>
        <v>5909.4359473323193</v>
      </c>
    </row>
    <row r="65" spans="2:10" x14ac:dyDescent="0.2">
      <c r="D65" s="32"/>
      <c r="G65" s="32"/>
    </row>
    <row r="66" spans="2:10" x14ac:dyDescent="0.2">
      <c r="B66" s="4" t="s">
        <v>63</v>
      </c>
      <c r="C66" s="5">
        <f>C64+C56</f>
        <v>11067.015988641006</v>
      </c>
      <c r="D66" s="32"/>
      <c r="F66" s="5">
        <f>F64+F56</f>
        <v>11772.015988641006</v>
      </c>
      <c r="G66" s="64">
        <f>G64+G56</f>
        <v>12124.420343401254</v>
      </c>
      <c r="H66" s="5">
        <f>H64+H56</f>
        <v>12381.210928608403</v>
      </c>
      <c r="I66" s="5">
        <f t="shared" ref="I66:J66" si="15">I64+I56</f>
        <v>12444.159126005414</v>
      </c>
      <c r="J66" s="5">
        <f t="shared" si="15"/>
        <v>12437.210182732349</v>
      </c>
    </row>
    <row r="67" spans="2:10" x14ac:dyDescent="0.2">
      <c r="D67" s="32"/>
      <c r="F67" s="33"/>
    </row>
    <row r="68" spans="2:10" x14ac:dyDescent="0.2">
      <c r="B68" s="53" t="s">
        <v>179</v>
      </c>
      <c r="C68" s="54"/>
      <c r="D68" s="55"/>
      <c r="E68" s="55"/>
      <c r="F68" s="54"/>
      <c r="G68" s="54"/>
      <c r="H68" s="54"/>
      <c r="I68" s="54"/>
      <c r="J68" s="56"/>
    </row>
    <row r="69" spans="2:10" x14ac:dyDescent="0.2">
      <c r="B69" s="4" t="s">
        <v>49</v>
      </c>
      <c r="D69" s="32"/>
      <c r="F69" s="33"/>
    </row>
    <row r="70" spans="2:10" x14ac:dyDescent="0.2">
      <c r="B70" s="7" t="s">
        <v>50</v>
      </c>
      <c r="C70" s="6">
        <f>Versant!F72</f>
        <v>97.744015864000005</v>
      </c>
      <c r="D70" s="50">
        <v>0</v>
      </c>
      <c r="E70" s="6">
        <v>0</v>
      </c>
      <c r="F70" s="51">
        <f t="shared" ref="F70:F72" si="16">SUM(C70:E70)</f>
        <v>97.744015864000005</v>
      </c>
      <c r="G70" s="6">
        <f>Versant!G72</f>
        <v>103.61307811712001</v>
      </c>
      <c r="H70" s="6">
        <f>Versant!H72</f>
        <v>110.85099872246401</v>
      </c>
      <c r="I70" s="6">
        <f>Versant!I72</f>
        <v>106.13376949663488</v>
      </c>
      <c r="J70" s="6">
        <f>Versant!J72</f>
        <v>101.5835441825044</v>
      </c>
    </row>
    <row r="71" spans="2:10" x14ac:dyDescent="0.2">
      <c r="B71" s="7" t="s">
        <v>51</v>
      </c>
      <c r="C71" s="6">
        <f>Versant!F73</f>
        <v>153.45311999999998</v>
      </c>
      <c r="D71" s="50">
        <v>0</v>
      </c>
      <c r="E71" s="6">
        <v>0</v>
      </c>
      <c r="F71" s="51">
        <f t="shared" si="16"/>
        <v>153.45311999999998</v>
      </c>
      <c r="G71" s="6">
        <f>Versant!G73</f>
        <v>187.2064896</v>
      </c>
      <c r="H71" s="6">
        <f>Versant!H73</f>
        <v>225.56282112</v>
      </c>
      <c r="I71" s="6">
        <f>Versant!I73</f>
        <v>239.28529847039999</v>
      </c>
      <c r="J71" s="6">
        <f>Versant!J73</f>
        <v>250.54905238272002</v>
      </c>
    </row>
    <row r="72" spans="2:10" x14ac:dyDescent="0.2">
      <c r="B72" s="7" t="s">
        <v>57</v>
      </c>
      <c r="C72" s="6">
        <f>Versant!F74</f>
        <v>181.57012173054829</v>
      </c>
      <c r="D72" s="50">
        <v>0</v>
      </c>
      <c r="E72" s="6">
        <v>0</v>
      </c>
      <c r="F72" s="51">
        <f t="shared" si="16"/>
        <v>181.57012173054829</v>
      </c>
      <c r="G72" s="6">
        <f>Versant!G74</f>
        <v>183.68682452754047</v>
      </c>
      <c r="H72" s="6">
        <f>Versant!H74</f>
        <v>187.03281847247621</v>
      </c>
      <c r="I72" s="6">
        <f>Versant!I74</f>
        <v>169.91395922030884</v>
      </c>
      <c r="J72" s="6">
        <f>Versant!J74</f>
        <v>153.79173185459248</v>
      </c>
    </row>
    <row r="73" spans="2:10" x14ac:dyDescent="0.2">
      <c r="B73" s="7" t="s">
        <v>52</v>
      </c>
      <c r="C73" s="6">
        <f>Versant!F75</f>
        <v>146.57174230285713</v>
      </c>
      <c r="D73" s="50">
        <v>0</v>
      </c>
      <c r="E73" s="6">
        <v>0</v>
      </c>
      <c r="F73" s="51">
        <f>SUM(C73:E73)</f>
        <v>146.57174230285713</v>
      </c>
      <c r="G73" s="6">
        <f>Versant!G75</f>
        <v>154.27740112274284</v>
      </c>
      <c r="H73" s="6">
        <f>Versant!H75</f>
        <v>163.88270575248001</v>
      </c>
      <c r="I73" s="6">
        <f>Versant!I75</f>
        <v>155.78680753658878</v>
      </c>
      <c r="J73" s="6">
        <f>Versant!J75</f>
        <v>148.0340080581648</v>
      </c>
    </row>
    <row r="74" spans="2:10" x14ac:dyDescent="0.2">
      <c r="B74" s="4" t="s">
        <v>53</v>
      </c>
      <c r="C74" s="5">
        <f>SUM(C70:C73)</f>
        <v>579.33899989740542</v>
      </c>
      <c r="D74" s="32"/>
      <c r="F74" s="52">
        <f>SUM(F70:F73)</f>
        <v>579.33899989740542</v>
      </c>
      <c r="G74" s="5">
        <f>SUM(G70:G73)</f>
        <v>628.78379336740329</v>
      </c>
      <c r="H74" s="5">
        <f t="shared" ref="H74:J74" si="17">SUM(H70:H73)</f>
        <v>687.32934406742015</v>
      </c>
      <c r="I74" s="5">
        <f t="shared" si="17"/>
        <v>671.11983472393251</v>
      </c>
      <c r="J74" s="5">
        <f t="shared" si="17"/>
        <v>653.95833647798167</v>
      </c>
    </row>
    <row r="75" spans="2:10" x14ac:dyDescent="0.2">
      <c r="D75" s="32"/>
      <c r="F75" s="33"/>
    </row>
    <row r="76" spans="2:10" x14ac:dyDescent="0.2">
      <c r="B76" s="4" t="s">
        <v>54</v>
      </c>
      <c r="D76" s="32"/>
      <c r="F76" s="33"/>
    </row>
    <row r="77" spans="2:10" x14ac:dyDescent="0.2">
      <c r="B77" s="7" t="s">
        <v>55</v>
      </c>
      <c r="C77" s="6">
        <f>Versant!F79</f>
        <v>306.10493600000001</v>
      </c>
      <c r="D77" s="32"/>
      <c r="F77" s="51">
        <f t="shared" ref="F77:F78" si="18">SUM(C77:E77)</f>
        <v>306.10493600000001</v>
      </c>
      <c r="G77" s="6">
        <f>F77+G96</f>
        <v>242.70646418000001</v>
      </c>
      <c r="H77" s="6">
        <f>G77+H96</f>
        <v>201.648641564</v>
      </c>
      <c r="I77" s="6">
        <f t="shared" ref="I77:J77" si="19">H77+I96</f>
        <v>185.39844584624001</v>
      </c>
      <c r="J77" s="6">
        <f t="shared" si="19"/>
        <v>185.39844584624001</v>
      </c>
    </row>
    <row r="78" spans="2:10" x14ac:dyDescent="0.2">
      <c r="B78" s="7" t="s">
        <v>56</v>
      </c>
      <c r="C78" s="6">
        <f>Versant!F80</f>
        <v>73.663569999999993</v>
      </c>
      <c r="D78" s="32"/>
      <c r="F78" s="51">
        <f t="shared" si="18"/>
        <v>73.663569999999993</v>
      </c>
      <c r="G78" s="6">
        <f>Versant!G80</f>
        <v>78.336065599999998</v>
      </c>
      <c r="H78" s="6">
        <f>Versant!H80</f>
        <v>84.065119320000008</v>
      </c>
      <c r="I78" s="6">
        <f>Versant!I80</f>
        <v>80.724727574399992</v>
      </c>
      <c r="J78" s="6">
        <f>Versant!J80</f>
        <v>77.482548408719992</v>
      </c>
    </row>
    <row r="79" spans="2:10" x14ac:dyDescent="0.2">
      <c r="B79" s="7" t="s">
        <v>58</v>
      </c>
      <c r="C79" s="6">
        <f>Versant!F81</f>
        <v>35.314011544489794</v>
      </c>
      <c r="D79" s="57"/>
      <c r="F79" s="51">
        <f>SUM(C79:E79)</f>
        <v>35.314011544489794</v>
      </c>
      <c r="G79" s="6">
        <f>Versant!G81</f>
        <v>35.243898278138772</v>
      </c>
      <c r="H79" s="6">
        <f>Versant!H81</f>
        <v>35.362297756388571</v>
      </c>
      <c r="I79" s="6">
        <f>Versant!I81</f>
        <v>31.613623441634736</v>
      </c>
      <c r="J79" s="6">
        <f>Versant!J81</f>
        <v>28.110623157266733</v>
      </c>
    </row>
    <row r="80" spans="2:10" x14ac:dyDescent="0.2">
      <c r="B80" s="42" t="s">
        <v>102</v>
      </c>
      <c r="C80" s="43">
        <v>0</v>
      </c>
      <c r="D80" s="60"/>
      <c r="E80" s="43">
        <f>J14+J15</f>
        <v>2955</v>
      </c>
      <c r="F80" s="61">
        <f>SUM(C80:E80)</f>
        <v>2955</v>
      </c>
      <c r="G80" s="43">
        <f>F80</f>
        <v>2955</v>
      </c>
      <c r="H80" s="43">
        <f t="shared" ref="H80:J80" si="20">G80</f>
        <v>2955</v>
      </c>
      <c r="I80" s="43">
        <f t="shared" si="20"/>
        <v>2955</v>
      </c>
      <c r="J80" s="43">
        <f t="shared" si="20"/>
        <v>2955</v>
      </c>
    </row>
    <row r="81" spans="2:10" x14ac:dyDescent="0.2">
      <c r="B81" s="4" t="s">
        <v>59</v>
      </c>
      <c r="C81" s="59">
        <f>SUM(C77:C80)</f>
        <v>415.0825175444898</v>
      </c>
      <c r="D81" s="58"/>
      <c r="E81" s="72"/>
      <c r="F81" s="59">
        <f>SUM(F77:F80)</f>
        <v>3370.0825175444897</v>
      </c>
      <c r="G81" s="5">
        <f>SUM(G77:G80)</f>
        <v>3311.2864280581389</v>
      </c>
      <c r="H81" s="5">
        <f t="shared" ref="H81:J81" si="21">SUM(H77:H80)</f>
        <v>3276.0760586403885</v>
      </c>
      <c r="I81" s="5">
        <f t="shared" si="21"/>
        <v>3252.7367968622748</v>
      </c>
      <c r="J81" s="5">
        <f t="shared" si="21"/>
        <v>3245.9916174122268</v>
      </c>
    </row>
    <row r="82" spans="2:10" x14ac:dyDescent="0.2">
      <c r="D82" s="32"/>
      <c r="F82" s="33"/>
    </row>
    <row r="83" spans="2:10" x14ac:dyDescent="0.2">
      <c r="B83" t="s">
        <v>180</v>
      </c>
      <c r="C83" s="6">
        <f>Versant!F86</f>
        <v>9955.1153311991093</v>
      </c>
      <c r="D83" s="50">
        <f>-C10</f>
        <v>-2250</v>
      </c>
      <c r="E83" s="6">
        <v>0</v>
      </c>
      <c r="F83" s="51">
        <f>SUM(C83:E83)</f>
        <v>7705.1153311991093</v>
      </c>
      <c r="G83" s="6">
        <f>F83+G46+G113+G94+G110+G111+G112</f>
        <v>8060.8799107757131</v>
      </c>
      <c r="H83" s="6">
        <f t="shared" ref="H83:J83" si="22">G83+H46+H113+H94+H110+H111+H112</f>
        <v>8385.2373032605938</v>
      </c>
      <c r="I83" s="6">
        <f t="shared" si="22"/>
        <v>8586.9213343104075</v>
      </c>
      <c r="J83" s="6">
        <f t="shared" si="22"/>
        <v>8703.1993293623</v>
      </c>
    </row>
    <row r="84" spans="2:10" x14ac:dyDescent="0.2">
      <c r="B84" s="7" t="s">
        <v>181</v>
      </c>
      <c r="C84" s="6">
        <f>Versant!F87</f>
        <v>118</v>
      </c>
      <c r="D84" s="50">
        <v>0</v>
      </c>
      <c r="E84" s="6">
        <v>0</v>
      </c>
      <c r="F84" s="51">
        <f>SUM(C84:E84)</f>
        <v>118</v>
      </c>
      <c r="G84" s="6">
        <f>Versant!G87</f>
        <v>118</v>
      </c>
      <c r="H84" s="6">
        <f>Versant!H87</f>
        <v>118</v>
      </c>
      <c r="I84" s="6">
        <f>Versant!I87</f>
        <v>118</v>
      </c>
      <c r="J84" s="6">
        <f>Versant!J87</f>
        <v>118</v>
      </c>
    </row>
    <row r="85" spans="2:10" x14ac:dyDescent="0.2">
      <c r="B85" s="4" t="s">
        <v>107</v>
      </c>
      <c r="C85" s="5">
        <f>SUM(C83:C84)</f>
        <v>10073.115331199109</v>
      </c>
      <c r="D85" s="32"/>
      <c r="F85" s="52">
        <f>SUM(F83:F84)</f>
        <v>7823.1153311991093</v>
      </c>
      <c r="G85" s="5">
        <f>SUM(G83:G84)</f>
        <v>8178.8799107757131</v>
      </c>
      <c r="H85" s="5">
        <f t="shared" ref="H85:J85" si="23">SUM(H83:H84)</f>
        <v>8503.2373032605938</v>
      </c>
      <c r="I85" s="5">
        <f t="shared" si="23"/>
        <v>8704.9213343104075</v>
      </c>
      <c r="J85" s="5">
        <f t="shared" si="23"/>
        <v>8821.1993293623</v>
      </c>
    </row>
    <row r="86" spans="2:10" x14ac:dyDescent="0.2">
      <c r="B86" s="4"/>
      <c r="C86" s="5"/>
      <c r="D86" s="32"/>
      <c r="F86" s="52"/>
    </row>
    <row r="87" spans="2:10" x14ac:dyDescent="0.2">
      <c r="B87" t="s">
        <v>62</v>
      </c>
      <c r="C87" s="5"/>
      <c r="D87" s="32"/>
      <c r="F87" s="62" t="str">
        <f>IF(AND(F66-F74-F81-F85&lt;1,F66-F74-F81-F85&gt;-1), "OK!", F66-F74-F81-F85)</f>
        <v>OK!</v>
      </c>
      <c r="G87" s="65">
        <f>IF(AND(G66-G74-G81-G85&lt;1,G66-G74-G81-G85&gt;-1), "OK!", G66-G74-G81-G85)</f>
        <v>5.47021119999863</v>
      </c>
      <c r="H87" s="65">
        <f t="shared" ref="H87:J87" si="24">IF(AND(H66-H74-H81-H85&lt;1,H66-H74-H81-H85&gt;-1), "OK!", H66-H74-H81-H85)</f>
        <v>-85.431777359999614</v>
      </c>
      <c r="I87" s="65">
        <f t="shared" si="24"/>
        <v>-184.61883989120179</v>
      </c>
      <c r="J87" s="65">
        <f t="shared" si="24"/>
        <v>-283.93910052015781</v>
      </c>
    </row>
    <row r="88" spans="2:10" x14ac:dyDescent="0.2">
      <c r="D88" s="32"/>
      <c r="F88" s="33"/>
    </row>
    <row r="89" spans="2:10" x14ac:dyDescent="0.2">
      <c r="B89" s="10"/>
      <c r="C89" s="10"/>
      <c r="D89" s="132" t="s">
        <v>162</v>
      </c>
      <c r="E89" s="133"/>
      <c r="F89" s="133"/>
      <c r="G89" s="132" t="s">
        <v>163</v>
      </c>
      <c r="H89" s="133"/>
      <c r="I89" s="133"/>
      <c r="J89" s="133"/>
    </row>
    <row r="90" spans="2:10" x14ac:dyDescent="0.2">
      <c r="B90" s="10" t="s">
        <v>218</v>
      </c>
      <c r="C90" s="46">
        <f>C50</f>
        <v>46022</v>
      </c>
      <c r="D90" s="67" t="s">
        <v>223</v>
      </c>
      <c r="E90" s="68" t="s">
        <v>222</v>
      </c>
      <c r="F90" s="49">
        <f>F50</f>
        <v>46022</v>
      </c>
      <c r="G90" s="46">
        <f>G50</f>
        <v>46387</v>
      </c>
      <c r="H90" s="46">
        <f t="shared" ref="H90:J90" si="25">H50</f>
        <v>46752</v>
      </c>
      <c r="I90" s="46">
        <f t="shared" si="25"/>
        <v>47118</v>
      </c>
      <c r="J90" s="46">
        <f t="shared" si="25"/>
        <v>47483</v>
      </c>
    </row>
    <row r="91" spans="2:10" x14ac:dyDescent="0.2">
      <c r="B91" s="4" t="s">
        <v>11</v>
      </c>
      <c r="C91" s="5">
        <f>C44</f>
        <v>1218.95064</v>
      </c>
      <c r="D91" s="32"/>
      <c r="F91" s="33"/>
      <c r="G91" s="5">
        <f>G44</f>
        <v>633.98471819999986</v>
      </c>
      <c r="H91" s="5">
        <f t="shared" ref="H91:J91" si="26">H44</f>
        <v>615.86733924000009</v>
      </c>
      <c r="I91" s="5">
        <f t="shared" si="26"/>
        <v>487.50587153279997</v>
      </c>
      <c r="J91" s="5">
        <f t="shared" si="26"/>
        <v>371.7522162791999</v>
      </c>
    </row>
    <row r="92" spans="2:10" x14ac:dyDescent="0.2">
      <c r="B92" t="s">
        <v>17</v>
      </c>
      <c r="D92" s="32"/>
      <c r="F92" s="33"/>
    </row>
    <row r="93" spans="2:10" x14ac:dyDescent="0.2">
      <c r="B93" s="7" t="s">
        <v>18</v>
      </c>
      <c r="C93" s="6">
        <f>Versant!F27</f>
        <v>949.57483999999999</v>
      </c>
      <c r="D93" s="32"/>
      <c r="F93" s="33"/>
      <c r="G93" s="6">
        <f>-G36</f>
        <v>1008.2692672000002</v>
      </c>
      <c r="H93" s="6">
        <f t="shared" ref="H93:J93" si="27">-H36</f>
        <v>1080.4297358400001</v>
      </c>
      <c r="I93" s="6">
        <f t="shared" si="27"/>
        <v>1036.0461366528</v>
      </c>
      <c r="J93" s="6">
        <f t="shared" si="27"/>
        <v>993.09902231904005</v>
      </c>
    </row>
    <row r="94" spans="2:10" x14ac:dyDescent="0.2">
      <c r="B94" s="7" t="s">
        <v>19</v>
      </c>
      <c r="C94" s="6">
        <f>Versant!F28</f>
        <v>16</v>
      </c>
      <c r="D94" s="32"/>
      <c r="F94" s="33"/>
      <c r="G94" s="6">
        <f>Versant!G28</f>
        <v>16</v>
      </c>
      <c r="H94" s="6">
        <f>Versant!H28</f>
        <v>16</v>
      </c>
      <c r="I94" s="6">
        <f>Versant!I28</f>
        <v>16</v>
      </c>
      <c r="J94" s="6">
        <f>Versant!J28</f>
        <v>16</v>
      </c>
    </row>
    <row r="95" spans="2:10" x14ac:dyDescent="0.2">
      <c r="B95" s="7" t="s">
        <v>20</v>
      </c>
      <c r="C95" s="6">
        <f>Versant!F29</f>
        <v>0</v>
      </c>
      <c r="D95" s="32"/>
      <c r="F95" s="33"/>
      <c r="G95" s="6">
        <f>Versant!G29</f>
        <v>0</v>
      </c>
      <c r="H95" s="6">
        <f>Versant!H29</f>
        <v>0</v>
      </c>
      <c r="I95" s="6">
        <f>Versant!I29</f>
        <v>0</v>
      </c>
      <c r="J95" s="6">
        <f>Versant!J29</f>
        <v>0</v>
      </c>
    </row>
    <row r="96" spans="2:10" x14ac:dyDescent="0.2">
      <c r="B96" s="7" t="s">
        <v>21</v>
      </c>
      <c r="C96" s="6">
        <f>Versant!F30</f>
        <v>-121.89506399999999</v>
      </c>
      <c r="D96" s="32"/>
      <c r="F96" s="33"/>
      <c r="G96" s="6">
        <f>Versant!F119*'Versant - Adjustment'!G43</f>
        <v>-63.39847181999999</v>
      </c>
      <c r="H96" s="6">
        <f>Versant!G119*'Versant - Adjustment'!H43</f>
        <v>-41.05782261600001</v>
      </c>
      <c r="I96" s="6">
        <f>Versant!H119*'Versant - Adjustment'!I43</f>
        <v>-16.250195717759997</v>
      </c>
      <c r="J96" s="6">
        <f>Versant!I119*'Versant - Adjustment'!J43</f>
        <v>0</v>
      </c>
    </row>
    <row r="97" spans="2:10" x14ac:dyDescent="0.2">
      <c r="B97" s="11" t="s">
        <v>22</v>
      </c>
      <c r="C97" s="6"/>
      <c r="D97" s="32"/>
      <c r="F97" s="33"/>
    </row>
    <row r="98" spans="2:10" x14ac:dyDescent="0.2">
      <c r="B98" s="7" t="s">
        <v>23</v>
      </c>
      <c r="C98" s="6">
        <f>Versant!F32</f>
        <v>101.25312000000008</v>
      </c>
      <c r="D98" s="32"/>
      <c r="F98" s="33"/>
      <c r="G98" s="6">
        <f>Versant!G32</f>
        <v>-18.134630400000106</v>
      </c>
      <c r="H98" s="6">
        <f>Versant!H32</f>
        <v>-29.098068479999938</v>
      </c>
      <c r="I98" s="6">
        <f>Versant!I32</f>
        <v>98.715021350400093</v>
      </c>
      <c r="J98" s="6">
        <f>Versant!J32</f>
        <v>91.156745272319995</v>
      </c>
    </row>
    <row r="99" spans="2:10" x14ac:dyDescent="0.2">
      <c r="B99" s="7" t="s">
        <v>24</v>
      </c>
      <c r="C99" s="6">
        <f>Versant!F33</f>
        <v>64.893120000000067</v>
      </c>
      <c r="D99" s="32"/>
      <c r="F99" s="33"/>
      <c r="G99" s="6">
        <f>Versant!G33</f>
        <v>4.6509695999999394</v>
      </c>
      <c r="H99" s="6">
        <f>Versant!H33</f>
        <v>0.52321152000001803</v>
      </c>
      <c r="I99" s="6">
        <f>Versant!I33</f>
        <v>61.392208550400085</v>
      </c>
      <c r="J99" s="6">
        <f>Versant!J33</f>
        <v>56.073301240320006</v>
      </c>
    </row>
    <row r="100" spans="2:10" x14ac:dyDescent="0.2">
      <c r="B100" s="7" t="s">
        <v>25</v>
      </c>
      <c r="C100" s="6">
        <f>Versant!F34</f>
        <v>-4.255984135999995</v>
      </c>
      <c r="D100" s="32"/>
      <c r="F100" s="33"/>
      <c r="G100" s="6">
        <f>Versant!G34</f>
        <v>5.8690622531200063</v>
      </c>
      <c r="H100" s="6">
        <f>Versant!H34</f>
        <v>7.2379206053440015</v>
      </c>
      <c r="I100" s="6">
        <f>Versant!I34</f>
        <v>-4.7172292258291293</v>
      </c>
      <c r="J100" s="6">
        <f>Versant!J34</f>
        <v>-4.5502253141304863</v>
      </c>
    </row>
    <row r="101" spans="2:10" x14ac:dyDescent="0.2">
      <c r="B101" s="7" t="s">
        <v>26</v>
      </c>
      <c r="C101" s="6">
        <f>Versant!F35</f>
        <v>-20.063994422104805</v>
      </c>
      <c r="D101" s="32"/>
      <c r="F101" s="33"/>
      <c r="G101" s="6">
        <f>Versant!G35</f>
        <v>30.305028750526866</v>
      </c>
      <c r="H101" s="6">
        <f>Versant!H35</f>
        <v>36.681597532922723</v>
      </c>
      <c r="I101" s="6">
        <f>Versant!I35</f>
        <v>-23.81048165321247</v>
      </c>
      <c r="J101" s="6">
        <f>Versant!J35</f>
        <v>-23.454152330028311</v>
      </c>
    </row>
    <row r="102" spans="2:10" x14ac:dyDescent="0.2">
      <c r="B102" s="12" t="s">
        <v>27</v>
      </c>
      <c r="C102" s="5">
        <f>SUM(C98:C101)</f>
        <v>141.82626144189535</v>
      </c>
      <c r="D102" s="32"/>
      <c r="F102" s="33"/>
      <c r="G102" s="5">
        <f>SUM(G98:G101)</f>
        <v>22.690430203646706</v>
      </c>
      <c r="H102" s="5">
        <f t="shared" ref="H102:J102" si="28">SUM(H98:H101)</f>
        <v>15.344661178266804</v>
      </c>
      <c r="I102" s="5">
        <f t="shared" si="28"/>
        <v>131.57951902175859</v>
      </c>
      <c r="J102" s="5">
        <f t="shared" si="28"/>
        <v>119.22566886848119</v>
      </c>
    </row>
    <row r="103" spans="2:10" x14ac:dyDescent="0.2">
      <c r="B103" s="8" t="s">
        <v>28</v>
      </c>
      <c r="C103" s="17">
        <f>C102+SUM(C91:C96)</f>
        <v>2204.4566774418959</v>
      </c>
      <c r="D103" s="32"/>
      <c r="F103" s="33"/>
      <c r="G103" s="17">
        <f>G102+SUM(G91:G96)</f>
        <v>1617.5459437836469</v>
      </c>
      <c r="H103" s="17">
        <f t="shared" ref="H103:J103" si="29">H102+SUM(H91:H96)</f>
        <v>1686.5839136422669</v>
      </c>
      <c r="I103" s="17">
        <f t="shared" si="29"/>
        <v>1654.8813314895986</v>
      </c>
      <c r="J103" s="17">
        <f t="shared" si="29"/>
        <v>1500.076907466721</v>
      </c>
    </row>
    <row r="104" spans="2:10" x14ac:dyDescent="0.2">
      <c r="D104" s="32"/>
      <c r="F104" s="33"/>
    </row>
    <row r="105" spans="2:10" x14ac:dyDescent="0.2">
      <c r="B105" s="7" t="s">
        <v>29</v>
      </c>
      <c r="C105" s="6">
        <f>Versant!F39</f>
        <v>-49.787099999999995</v>
      </c>
      <c r="D105" s="32"/>
      <c r="F105" s="33"/>
      <c r="G105" s="6">
        <f>Versant!G39</f>
        <v>-51.778584000000002</v>
      </c>
      <c r="H105" s="6">
        <f>Versant!H39</f>
        <v>-54.367513199999998</v>
      </c>
      <c r="I105" s="6">
        <f>Versant!I39</f>
        <v>-51.105462407999994</v>
      </c>
      <c r="J105" s="6">
        <f>Versant!J39</f>
        <v>-48.039134663519995</v>
      </c>
    </row>
    <row r="106" spans="2:10" x14ac:dyDescent="0.2">
      <c r="B106" s="42" t="s">
        <v>183</v>
      </c>
      <c r="C106" s="43"/>
      <c r="D106" s="44"/>
      <c r="E106" s="71"/>
      <c r="F106" s="45"/>
      <c r="G106" s="43">
        <f>-$J$6</f>
        <v>-98</v>
      </c>
      <c r="H106" s="43">
        <f t="shared" ref="H106:J106" si="30">-$J$6</f>
        <v>-98</v>
      </c>
      <c r="I106" s="43">
        <f t="shared" si="30"/>
        <v>-98</v>
      </c>
      <c r="J106" s="43">
        <f t="shared" si="30"/>
        <v>-98</v>
      </c>
    </row>
    <row r="107" spans="2:10" x14ac:dyDescent="0.2">
      <c r="B107" s="7" t="s">
        <v>143</v>
      </c>
      <c r="C107" s="6">
        <f>Versant!F40</f>
        <v>-5</v>
      </c>
      <c r="D107" s="32"/>
      <c r="F107" s="33"/>
      <c r="G107" s="6">
        <f>Versant!G40</f>
        <v>-5</v>
      </c>
      <c r="H107" s="6">
        <f>Versant!H40</f>
        <v>-5</v>
      </c>
      <c r="I107" s="6">
        <f>Versant!I40</f>
        <v>-5</v>
      </c>
      <c r="J107" s="6">
        <f>Versant!J40</f>
        <v>-5</v>
      </c>
    </row>
    <row r="108" spans="2:10" x14ac:dyDescent="0.2">
      <c r="B108" s="8" t="s">
        <v>30</v>
      </c>
      <c r="C108" s="17">
        <f>SUM(C105:C107)</f>
        <v>-54.787099999999995</v>
      </c>
      <c r="D108" s="32"/>
      <c r="F108" s="33"/>
      <c r="G108" s="17">
        <f>SUM(G105:G107)</f>
        <v>-154.778584</v>
      </c>
      <c r="H108" s="17">
        <f t="shared" ref="H108:J108" si="31">SUM(H105:H107)</f>
        <v>-157.36751319999999</v>
      </c>
      <c r="I108" s="17">
        <f t="shared" si="31"/>
        <v>-154.10546240799999</v>
      </c>
      <c r="J108" s="17">
        <f t="shared" si="31"/>
        <v>-151.03913466352</v>
      </c>
    </row>
    <row r="109" spans="2:10" x14ac:dyDescent="0.2">
      <c r="D109" s="32"/>
      <c r="F109" s="33"/>
    </row>
    <row r="110" spans="2:10" x14ac:dyDescent="0.2">
      <c r="B110" s="7" t="s">
        <v>31</v>
      </c>
      <c r="C110" s="6">
        <f>Versant!F43</f>
        <v>-2076.1686421342242</v>
      </c>
      <c r="D110" s="32"/>
      <c r="F110" s="33"/>
      <c r="G110" s="6">
        <f>Versant!G43</f>
        <v>-2159.2153878195936</v>
      </c>
      <c r="H110" s="6">
        <f>Versant!H43</f>
        <v>-2267.1761572105734</v>
      </c>
      <c r="I110" s="6">
        <f>Versant!I43</f>
        <v>-2131.1455877779385</v>
      </c>
      <c r="J110" s="6">
        <f>Versant!J43</f>
        <v>-2003.2768525112624</v>
      </c>
    </row>
    <row r="111" spans="2:10" x14ac:dyDescent="0.2">
      <c r="B111" s="42" t="s">
        <v>185</v>
      </c>
      <c r="C111" s="43">
        <v>0</v>
      </c>
      <c r="D111" s="44"/>
      <c r="E111" s="71"/>
      <c r="F111" s="45"/>
      <c r="G111" s="43">
        <f>-G110</f>
        <v>2159.2153878195936</v>
      </c>
      <c r="H111" s="43">
        <f t="shared" ref="H111:J111" si="32">-H110</f>
        <v>2267.1761572105734</v>
      </c>
      <c r="I111" s="43">
        <f t="shared" si="32"/>
        <v>2131.1455877779385</v>
      </c>
      <c r="J111" s="43">
        <f t="shared" si="32"/>
        <v>2003.2768525112624</v>
      </c>
    </row>
    <row r="112" spans="2:10" x14ac:dyDescent="0.2">
      <c r="B112" s="42" t="s">
        <v>94</v>
      </c>
      <c r="C112" s="43">
        <v>0</v>
      </c>
      <c r="D112" s="44"/>
      <c r="E112" s="71"/>
      <c r="F112" s="45"/>
      <c r="G112" s="43">
        <f>G130</f>
        <v>-293.55347195672942</v>
      </c>
      <c r="H112" s="43">
        <f t="shared" ref="H112:J112" si="33">H130</f>
        <v>-306.84328008845335</v>
      </c>
      <c r="I112" s="43">
        <f t="shared" si="33"/>
        <v>-301.15517381631975</v>
      </c>
      <c r="J112" s="43">
        <f t="shared" si="33"/>
        <v>-270.8075545606402</v>
      </c>
    </row>
    <row r="113" spans="2:10" x14ac:dyDescent="0.2">
      <c r="B113" s="7" t="s">
        <v>32</v>
      </c>
      <c r="C113" s="6">
        <f>Versant!F44</f>
        <v>-0.66666666666666663</v>
      </c>
      <c r="D113" s="32"/>
      <c r="F113" s="33"/>
      <c r="G113" s="6">
        <f>Versant!G44</f>
        <v>-0.66666666666666663</v>
      </c>
      <c r="H113" s="6">
        <f>Versant!H44</f>
        <v>-0.66666666666666663</v>
      </c>
      <c r="I113" s="6">
        <f>Versant!I44</f>
        <v>-0.66666666666666663</v>
      </c>
      <c r="J113" s="6">
        <f>Versant!J44</f>
        <v>-0.66666666666666663</v>
      </c>
    </row>
    <row r="114" spans="2:10" x14ac:dyDescent="0.2">
      <c r="B114" s="16" t="s">
        <v>33</v>
      </c>
      <c r="C114" s="59">
        <f>SUM(C110:C113)</f>
        <v>-2076.8353088008907</v>
      </c>
      <c r="D114" s="32"/>
      <c r="F114" s="33"/>
      <c r="G114" s="63">
        <f>SUM(G110:G113)</f>
        <v>-294.22013862339611</v>
      </c>
      <c r="H114" s="17">
        <f t="shared" ref="H114:J114" si="34">SUM(H110:H113)</f>
        <v>-307.50994675512004</v>
      </c>
      <c r="I114" s="17">
        <f t="shared" si="34"/>
        <v>-301.82184048298643</v>
      </c>
      <c r="J114" s="17">
        <f t="shared" si="34"/>
        <v>-271.47422122730688</v>
      </c>
    </row>
    <row r="115" spans="2:10" x14ac:dyDescent="0.2">
      <c r="D115" s="32"/>
      <c r="F115" s="33"/>
    </row>
    <row r="116" spans="2:10" x14ac:dyDescent="0.2">
      <c r="B116" t="s">
        <v>182</v>
      </c>
      <c r="C116" s="6">
        <f>C103+C108+C114</f>
        <v>72.83426864100511</v>
      </c>
      <c r="D116" s="32"/>
      <c r="F116" s="33"/>
      <c r="G116" s="6">
        <f>G114+G108+G103</f>
        <v>1168.5472211602507</v>
      </c>
      <c r="H116" s="6">
        <f>H114+H108+H103</f>
        <v>1221.7064536871469</v>
      </c>
      <c r="I116" s="6">
        <f t="shared" ref="I116:J116" si="35">I114+I108+I103</f>
        <v>1198.9540285986122</v>
      </c>
      <c r="J116" s="6">
        <f t="shared" si="35"/>
        <v>1077.5635515758941</v>
      </c>
    </row>
    <row r="117" spans="2:10" x14ac:dyDescent="0.2">
      <c r="B117" t="s">
        <v>150</v>
      </c>
      <c r="C117" s="6">
        <f>Versant!F48</f>
        <v>8</v>
      </c>
      <c r="D117" s="32"/>
      <c r="F117" s="33"/>
      <c r="G117" s="6">
        <f>F53</f>
        <v>785.83426864100511</v>
      </c>
      <c r="H117" s="6">
        <f>G118</f>
        <v>1954.3814898012558</v>
      </c>
      <c r="I117" s="6">
        <f t="shared" ref="I117:J117" si="36">H118</f>
        <v>3176.0879434884027</v>
      </c>
      <c r="J117" s="6">
        <f t="shared" si="36"/>
        <v>4375.041972087015</v>
      </c>
    </row>
    <row r="118" spans="2:10" x14ac:dyDescent="0.2">
      <c r="B118" s="4" t="s">
        <v>151</v>
      </c>
      <c r="C118" s="5">
        <f>SUM(C116:C117)</f>
        <v>80.83426864100511</v>
      </c>
      <c r="D118" s="32"/>
      <c r="F118" s="33"/>
      <c r="G118" s="5">
        <f>SUM(G116:G117)</f>
        <v>1954.3814898012558</v>
      </c>
      <c r="H118" s="5">
        <f>SUM(H116:H117)</f>
        <v>3176.0879434884027</v>
      </c>
      <c r="I118" s="5">
        <f t="shared" ref="I118:J118" si="37">SUM(I116:I117)</f>
        <v>4375.041972087015</v>
      </c>
      <c r="J118" s="5">
        <f t="shared" si="37"/>
        <v>5452.605523662909</v>
      </c>
    </row>
    <row r="119" spans="2:10" x14ac:dyDescent="0.2">
      <c r="D119" s="32"/>
      <c r="F119" s="33"/>
    </row>
    <row r="120" spans="2:10" x14ac:dyDescent="0.2">
      <c r="D120" s="32"/>
      <c r="F120" s="33"/>
    </row>
    <row r="121" spans="2:10" x14ac:dyDescent="0.2">
      <c r="B121" s="10"/>
      <c r="C121" s="10"/>
      <c r="D121" s="132" t="s">
        <v>162</v>
      </c>
      <c r="E121" s="133"/>
      <c r="F121" s="133"/>
      <c r="G121" s="132" t="s">
        <v>163</v>
      </c>
      <c r="H121" s="133"/>
      <c r="I121" s="133"/>
      <c r="J121" s="133"/>
    </row>
    <row r="122" spans="2:10" x14ac:dyDescent="0.2">
      <c r="B122" s="10" t="s">
        <v>219</v>
      </c>
      <c r="C122" s="46">
        <f>C90</f>
        <v>46022</v>
      </c>
      <c r="D122" s="67" t="s">
        <v>223</v>
      </c>
      <c r="E122" s="68" t="s">
        <v>222</v>
      </c>
      <c r="F122" s="49">
        <f>F90</f>
        <v>46022</v>
      </c>
      <c r="G122" s="46">
        <f>G90</f>
        <v>46387</v>
      </c>
      <c r="H122" s="46">
        <f t="shared" ref="H122:J122" si="38">H90</f>
        <v>46752</v>
      </c>
      <c r="I122" s="46">
        <f t="shared" si="38"/>
        <v>47118</v>
      </c>
      <c r="J122" s="46">
        <f t="shared" si="38"/>
        <v>47483</v>
      </c>
    </row>
    <row r="123" spans="2:10" x14ac:dyDescent="0.2">
      <c r="B123" s="4" t="s">
        <v>187</v>
      </c>
      <c r="C123" s="5">
        <f>C39-C36</f>
        <v>2574.8423599999996</v>
      </c>
      <c r="D123" s="32"/>
      <c r="F123" s="33"/>
      <c r="G123" s="5">
        <f>G39-G36</f>
        <v>2067.8197248000001</v>
      </c>
      <c r="H123" s="5">
        <f t="shared" ref="H123:J123" si="39">H39-H36</f>
        <v>2115.8236881600005</v>
      </c>
      <c r="I123" s="5">
        <f t="shared" si="39"/>
        <v>1900.2914653631999</v>
      </c>
      <c r="J123" s="5">
        <f t="shared" si="39"/>
        <v>1703.00614402464</v>
      </c>
    </row>
    <row r="124" spans="2:10" x14ac:dyDescent="0.2">
      <c r="D124" s="32"/>
      <c r="F124" s="33"/>
    </row>
    <row r="125" spans="2:10" x14ac:dyDescent="0.2">
      <c r="B125" t="s">
        <v>188</v>
      </c>
      <c r="C125" s="6">
        <f>C103</f>
        <v>2204.4566774418959</v>
      </c>
      <c r="D125" s="32"/>
      <c r="F125" s="33"/>
      <c r="G125" s="6">
        <f>G103</f>
        <v>1617.5459437836469</v>
      </c>
      <c r="H125" s="6">
        <f t="shared" ref="H125:J125" si="40">H103</f>
        <v>1686.5839136422669</v>
      </c>
      <c r="I125" s="6">
        <f t="shared" si="40"/>
        <v>1654.8813314895986</v>
      </c>
      <c r="J125" s="6">
        <f t="shared" si="40"/>
        <v>1500.076907466721</v>
      </c>
    </row>
    <row r="126" spans="2:10" x14ac:dyDescent="0.2">
      <c r="B126" s="7" t="s">
        <v>29</v>
      </c>
      <c r="C126" s="6">
        <f>C105</f>
        <v>-49.787099999999995</v>
      </c>
      <c r="D126" s="32"/>
      <c r="F126" s="33"/>
      <c r="G126" s="6">
        <f>G105</f>
        <v>-51.778584000000002</v>
      </c>
      <c r="H126" s="6">
        <f t="shared" ref="H126:J126" si="41">H105</f>
        <v>-54.367513199999998</v>
      </c>
      <c r="I126" s="6">
        <f t="shared" si="41"/>
        <v>-51.105462407999994</v>
      </c>
      <c r="J126" s="6">
        <f t="shared" si="41"/>
        <v>-48.039134663519995</v>
      </c>
    </row>
    <row r="127" spans="2:10" x14ac:dyDescent="0.2">
      <c r="B127" s="7" t="s">
        <v>183</v>
      </c>
      <c r="C127" s="6">
        <f>C106</f>
        <v>0</v>
      </c>
      <c r="D127" s="32"/>
      <c r="F127" s="33"/>
      <c r="G127" s="6">
        <f>G106</f>
        <v>-98</v>
      </c>
      <c r="H127" s="6">
        <f t="shared" ref="H127:J127" si="42">H106</f>
        <v>-98</v>
      </c>
      <c r="I127" s="6">
        <f t="shared" si="42"/>
        <v>-98</v>
      </c>
      <c r="J127" s="6">
        <f t="shared" si="42"/>
        <v>-98</v>
      </c>
    </row>
    <row r="128" spans="2:10" x14ac:dyDescent="0.2">
      <c r="B128" s="4" t="s">
        <v>189</v>
      </c>
      <c r="C128" s="5">
        <f>SUM(C125:C127)</f>
        <v>2154.6695774418959</v>
      </c>
      <c r="D128" s="32"/>
      <c r="F128" s="33"/>
      <c r="G128" s="5">
        <f>SUM(G125:G127)</f>
        <v>1467.767359783647</v>
      </c>
      <c r="H128" s="5">
        <f t="shared" ref="H128:J128" si="43">SUM(H125:H127)</f>
        <v>1534.2164004422668</v>
      </c>
      <c r="I128" s="5">
        <f t="shared" si="43"/>
        <v>1505.7758690815986</v>
      </c>
      <c r="J128" s="5">
        <f t="shared" si="43"/>
        <v>1354.0377728032011</v>
      </c>
    </row>
    <row r="129" spans="2:10" x14ac:dyDescent="0.2">
      <c r="D129" s="32"/>
      <c r="F129" s="33"/>
    </row>
    <row r="130" spans="2:10" x14ac:dyDescent="0.2">
      <c r="B130" t="s">
        <v>190</v>
      </c>
      <c r="C130" s="6">
        <v>0</v>
      </c>
      <c r="D130" s="32"/>
      <c r="F130" s="33"/>
      <c r="G130" s="6">
        <f>-G131*G128</f>
        <v>-293.55347195672942</v>
      </c>
      <c r="H130" s="6">
        <f t="shared" ref="H130:J130" si="44">-H131*H128</f>
        <v>-306.84328008845335</v>
      </c>
      <c r="I130" s="6">
        <f t="shared" si="44"/>
        <v>-301.15517381631975</v>
      </c>
      <c r="J130" s="6">
        <f t="shared" si="44"/>
        <v>-270.8075545606402</v>
      </c>
    </row>
    <row r="131" spans="2:10" x14ac:dyDescent="0.2">
      <c r="B131" s="7" t="s">
        <v>191</v>
      </c>
      <c r="D131" s="32"/>
      <c r="F131" s="33"/>
      <c r="G131" s="66">
        <v>0.2</v>
      </c>
      <c r="H131" s="26">
        <v>0.2</v>
      </c>
      <c r="I131" s="26">
        <v>0.2</v>
      </c>
      <c r="J131" s="26">
        <v>0.2</v>
      </c>
    </row>
    <row r="132" spans="2:10" x14ac:dyDescent="0.2">
      <c r="D132" s="32"/>
      <c r="F132" s="33"/>
    </row>
    <row r="133" spans="2:10" x14ac:dyDescent="0.2">
      <c r="B133" t="s">
        <v>277</v>
      </c>
      <c r="C133" s="6"/>
      <c r="D133" s="79"/>
      <c r="F133" s="81"/>
      <c r="G133" s="6">
        <f>-G53+G80</f>
        <v>1000.6185101987442</v>
      </c>
      <c r="H133" s="6">
        <f t="shared" ref="H133:J133" si="45">-H53+H80</f>
        <v>-221.08794348840274</v>
      </c>
      <c r="I133" s="6">
        <f t="shared" si="45"/>
        <v>-1420.041972087015</v>
      </c>
      <c r="J133" s="6">
        <f t="shared" si="45"/>
        <v>-2497.605523662909</v>
      </c>
    </row>
    <row r="134" spans="2:10" x14ac:dyDescent="0.2">
      <c r="B134" t="s">
        <v>278</v>
      </c>
      <c r="D134" s="79"/>
      <c r="F134" s="81"/>
      <c r="G134" s="108">
        <f>G133/G123</f>
        <v>0.48390026374060446</v>
      </c>
      <c r="H134" s="108">
        <f t="shared" ref="H134:J134" si="46">H133/H123</f>
        <v>-0.10449261189653714</v>
      </c>
      <c r="I134" s="108">
        <f t="shared" si="46"/>
        <v>-0.74727587739578916</v>
      </c>
      <c r="J134" s="108">
        <f t="shared" si="46"/>
        <v>-1.4665863258487295</v>
      </c>
    </row>
    <row r="135" spans="2:10" x14ac:dyDescent="0.2">
      <c r="D135" s="79"/>
      <c r="F135" s="81"/>
    </row>
    <row r="136" spans="2:10" x14ac:dyDescent="0.2">
      <c r="B136" t="s">
        <v>259</v>
      </c>
      <c r="D136" s="79"/>
      <c r="F136" s="81"/>
      <c r="G136" s="6">
        <f>G80+G83</f>
        <v>11015.879910775713</v>
      </c>
      <c r="H136" s="6">
        <f t="shared" ref="H136:J136" si="47">H80+H83</f>
        <v>11340.237303260594</v>
      </c>
      <c r="I136" s="6">
        <f t="shared" si="47"/>
        <v>11541.921334310407</v>
      </c>
      <c r="J136" s="6">
        <f t="shared" si="47"/>
        <v>11658.1993293623</v>
      </c>
    </row>
    <row r="137" spans="2:10" x14ac:dyDescent="0.2">
      <c r="B137" t="s">
        <v>260</v>
      </c>
      <c r="D137" s="79"/>
      <c r="F137" s="81"/>
      <c r="G137" s="6">
        <f>G39*(1-SubCo_Marginal_Tax_Rate)</f>
        <v>794.66284319999988</v>
      </c>
      <c r="H137" s="6">
        <f>H39*(1-SubCo_Marginal_Tax_Rate)</f>
        <v>776.54546424000011</v>
      </c>
      <c r="I137" s="6">
        <f>I39*(1-SubCo_Marginal_Tax_Rate)</f>
        <v>648.18399653279994</v>
      </c>
      <c r="J137" s="6">
        <f>J39*(1-SubCo_Marginal_Tax_Rate)</f>
        <v>532.43034127919987</v>
      </c>
    </row>
    <row r="138" spans="2:10" x14ac:dyDescent="0.2">
      <c r="D138" s="79"/>
      <c r="F138" s="81"/>
    </row>
    <row r="139" spans="2:10" x14ac:dyDescent="0.2">
      <c r="B139" t="s">
        <v>262</v>
      </c>
      <c r="D139" s="79"/>
      <c r="F139" s="81"/>
      <c r="G139" s="25">
        <f>G137/G136</f>
        <v>7.2137936291649496E-2</v>
      </c>
      <c r="H139" s="25">
        <f t="shared" ref="H139:J139" si="48">H137/H136</f>
        <v>6.8477003035617642E-2</v>
      </c>
      <c r="I139" s="25">
        <f t="shared" si="48"/>
        <v>5.6159107115550867E-2</v>
      </c>
      <c r="J139" s="25">
        <f t="shared" si="48"/>
        <v>4.5670032415574047E-2</v>
      </c>
    </row>
    <row r="140" spans="2:10" x14ac:dyDescent="0.2">
      <c r="B140" t="s">
        <v>263</v>
      </c>
      <c r="D140" s="79"/>
      <c r="F140" s="81"/>
      <c r="G140" s="25">
        <f>G44/G83</f>
        <v>7.8649567443933102E-2</v>
      </c>
      <c r="H140" s="25">
        <f t="shared" ref="H140:J140" si="49">H44/H83</f>
        <v>7.3446620169058369E-2</v>
      </c>
      <c r="I140" s="25">
        <f t="shared" si="49"/>
        <v>5.6773068315519891E-2</v>
      </c>
      <c r="J140" s="25">
        <f t="shared" si="49"/>
        <v>4.2714432039377283E-2</v>
      </c>
    </row>
    <row r="141" spans="2:10" x14ac:dyDescent="0.2">
      <c r="D141" s="79"/>
      <c r="F141" s="81"/>
    </row>
    <row r="142" spans="2:10" x14ac:dyDescent="0.2">
      <c r="B142" t="s">
        <v>256</v>
      </c>
      <c r="D142" s="79"/>
      <c r="F142" s="81"/>
      <c r="G142" s="6">
        <f>G46/$C$6</f>
        <v>4.3980897316144194</v>
      </c>
      <c r="H142" s="6">
        <f t="shared" ref="H142:J142" si="50">H46/$C$6</f>
        <v>4.2724055375316761</v>
      </c>
      <c r="I142" s="6">
        <f t="shared" si="50"/>
        <v>3.3819341478413354</v>
      </c>
      <c r="J142" s="6">
        <f t="shared" si="50"/>
        <v>2.578925892353555</v>
      </c>
    </row>
    <row r="143" spans="2:10" x14ac:dyDescent="0.2">
      <c r="B143" t="s">
        <v>274</v>
      </c>
      <c r="D143" s="79"/>
      <c r="F143" s="81"/>
      <c r="G143" s="108">
        <f>$C$8/G142</f>
        <v>12.339596060628059</v>
      </c>
      <c r="H143" s="108">
        <f t="shared" ref="H143:J143" si="51">$C$8/H142</f>
        <v>12.702598161566875</v>
      </c>
      <c r="I143" s="108">
        <f t="shared" si="51"/>
        <v>16.047222788521349</v>
      </c>
      <c r="J143" s="108">
        <f t="shared" si="51"/>
        <v>21.043896952381999</v>
      </c>
    </row>
    <row r="144" spans="2:10" x14ac:dyDescent="0.2">
      <c r="B144" t="s">
        <v>276</v>
      </c>
      <c r="D144" s="79"/>
      <c r="F144" s="81"/>
      <c r="G144" s="108">
        <f>$C$22/G123</f>
        <v>5.5241515799666452</v>
      </c>
      <c r="H144" s="108">
        <f t="shared" ref="H144:J144" si="52">$C$22/H123</f>
        <v>5.3988192228691512</v>
      </c>
      <c r="I144" s="108">
        <f t="shared" si="52"/>
        <v>6.0111566083663188</v>
      </c>
      <c r="J144" s="108">
        <f t="shared" si="52"/>
        <v>6.7075210737905833</v>
      </c>
    </row>
    <row r="145" spans="2:10" x14ac:dyDescent="0.2">
      <c r="B145" t="s">
        <v>286</v>
      </c>
      <c r="D145" s="79"/>
      <c r="F145" s="81"/>
      <c r="G145" s="108">
        <f>G85/SubCo_Market_Cap</f>
        <v>1.0454760750052847</v>
      </c>
      <c r="H145" s="108">
        <f>H85/SubCo_Market_Cap</f>
        <v>1.0869374850386153</v>
      </c>
      <c r="I145" s="108">
        <f>I85/SubCo_Market_Cap</f>
        <v>1.1127180114032829</v>
      </c>
      <c r="J145" s="108">
        <f>J85/SubCo_Market_Cap</f>
        <v>1.127581398957876</v>
      </c>
    </row>
    <row r="146" spans="2:10" x14ac:dyDescent="0.2">
      <c r="D146" s="79"/>
      <c r="F146" s="81"/>
    </row>
    <row r="147" spans="2:10" x14ac:dyDescent="0.2">
      <c r="D147" s="79"/>
      <c r="F147" s="81"/>
    </row>
  </sheetData>
  <mergeCells count="8">
    <mergeCell ref="D121:F121"/>
    <mergeCell ref="G121:J121"/>
    <mergeCell ref="D26:F26"/>
    <mergeCell ref="G26:J26"/>
    <mergeCell ref="D49:F49"/>
    <mergeCell ref="G49:J49"/>
    <mergeCell ref="D89:F89"/>
    <mergeCell ref="G89:J8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4F202-E506-8248-AE2F-ED1AE8B9C311}">
  <dimension ref="B2:G20"/>
  <sheetViews>
    <sheetView showGridLines="0" workbookViewId="0">
      <selection activeCell="C20" sqref="C20"/>
    </sheetView>
  </sheetViews>
  <sheetFormatPr baseColWidth="10" defaultRowHeight="16" x14ac:dyDescent="0.2"/>
  <cols>
    <col min="2" max="2" width="27.6640625" customWidth="1"/>
    <col min="3" max="3" width="20.33203125" bestFit="1" customWidth="1"/>
    <col min="6" max="6" width="13.6640625" customWidth="1"/>
    <col min="7" max="7" width="18.6640625" customWidth="1"/>
  </cols>
  <sheetData>
    <row r="2" spans="2:7" ht="19" x14ac:dyDescent="0.25">
      <c r="B2" s="1" t="s">
        <v>363</v>
      </c>
    </row>
    <row r="4" spans="2:7" x14ac:dyDescent="0.2">
      <c r="B4" t="s">
        <v>364</v>
      </c>
      <c r="C4" t="s">
        <v>323</v>
      </c>
      <c r="D4" t="s">
        <v>321</v>
      </c>
    </row>
    <row r="5" spans="2:7" x14ac:dyDescent="0.2">
      <c r="B5" t="s">
        <v>365</v>
      </c>
      <c r="C5" t="s">
        <v>333</v>
      </c>
      <c r="D5">
        <v>1.61</v>
      </c>
    </row>
    <row r="6" spans="2:7" x14ac:dyDescent="0.2">
      <c r="B6" t="s">
        <v>366</v>
      </c>
      <c r="C6" t="s">
        <v>369</v>
      </c>
      <c r="D6">
        <v>1.18</v>
      </c>
    </row>
    <row r="7" spans="2:7" x14ac:dyDescent="0.2">
      <c r="B7" t="s">
        <v>367</v>
      </c>
      <c r="C7" t="s">
        <v>332</v>
      </c>
      <c r="D7">
        <v>0.51</v>
      </c>
    </row>
    <row r="8" spans="2:7" x14ac:dyDescent="0.2">
      <c r="B8" t="s">
        <v>368</v>
      </c>
      <c r="C8" t="s">
        <v>370</v>
      </c>
      <c r="D8">
        <v>1.06</v>
      </c>
    </row>
    <row r="9" spans="2:7" x14ac:dyDescent="0.2">
      <c r="B9" t="s">
        <v>328</v>
      </c>
      <c r="D9">
        <f>MEDIAN(D5:D8)</f>
        <v>1.1200000000000001</v>
      </c>
    </row>
    <row r="11" spans="2:7" x14ac:dyDescent="0.2">
      <c r="B11" s="10"/>
      <c r="C11" s="10" t="s">
        <v>321</v>
      </c>
      <c r="D11" s="10" t="s">
        <v>61</v>
      </c>
      <c r="E11" s="10" t="s">
        <v>211</v>
      </c>
      <c r="F11" s="10" t="s">
        <v>372</v>
      </c>
      <c r="G11" s="10" t="s">
        <v>339</v>
      </c>
    </row>
    <row r="12" spans="2:7" x14ac:dyDescent="0.2">
      <c r="B12" t="s">
        <v>371</v>
      </c>
      <c r="C12">
        <f>D9</f>
        <v>1.1200000000000001</v>
      </c>
      <c r="D12" s="6">
        <f>'Versant - Adjustment'!C17</f>
        <v>7823.1153311991093</v>
      </c>
      <c r="E12" s="6">
        <f>'Versant - Adjustment'!C19</f>
        <v>2955</v>
      </c>
      <c r="F12" s="25">
        <f>E12/(E12+D12)</f>
        <v>0.27416667099917219</v>
      </c>
      <c r="G12" s="25">
        <f>1-F12</f>
        <v>0.72583332900082786</v>
      </c>
    </row>
    <row r="14" spans="2:7" x14ac:dyDescent="0.2">
      <c r="B14" t="s">
        <v>340</v>
      </c>
      <c r="C14">
        <f>C12*(1+(1-SubCo_Marginal_Tax_Rate)*(F12/G12))</f>
        <v>1.4372904776311837</v>
      </c>
    </row>
    <row r="15" spans="2:7" x14ac:dyDescent="0.2">
      <c r="B15" t="s">
        <v>343</v>
      </c>
      <c r="C15" s="25">
        <f>Risk_Free_Rate+(Equity_Risk_Premium*C14)</f>
        <v>0.11286452388155918</v>
      </c>
    </row>
    <row r="17" spans="2:3" x14ac:dyDescent="0.2">
      <c r="B17" t="s">
        <v>373</v>
      </c>
      <c r="C17" s="25">
        <f>'Versant - Adjustment'!J10</f>
        <v>7.2499999999999995E-2</v>
      </c>
    </row>
    <row r="18" spans="2:3" x14ac:dyDescent="0.2">
      <c r="B18" t="s">
        <v>374</v>
      </c>
      <c r="C18" s="25">
        <f>C17*(1-SubCo_Marginal_Tax_Rate)</f>
        <v>5.4374999999999993E-2</v>
      </c>
    </row>
    <row r="20" spans="2:3" x14ac:dyDescent="0.2">
      <c r="B20" t="s">
        <v>295</v>
      </c>
      <c r="C20" s="25">
        <f>C18*F12+C15*G12</f>
        <v>9.6828645830625532E-2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72C3C-4921-E448-9BAB-2D580DA2893F}">
  <dimension ref="B2:P67"/>
  <sheetViews>
    <sheetView showGridLines="0" tabSelected="1" topLeftCell="A21" workbookViewId="0">
      <selection activeCell="K62" sqref="K62"/>
    </sheetView>
  </sheetViews>
  <sheetFormatPr baseColWidth="10" defaultRowHeight="16" x14ac:dyDescent="0.2"/>
  <cols>
    <col min="2" max="2" width="35.83203125" customWidth="1"/>
    <col min="3" max="3" width="16.6640625" customWidth="1"/>
    <col min="4" max="4" width="17.5" customWidth="1"/>
    <col min="5" max="5" width="23.33203125" customWidth="1"/>
    <col min="6" max="6" width="20.83203125" customWidth="1"/>
    <col min="7" max="7" width="16.83203125" customWidth="1"/>
    <col min="8" max="8" width="20.83203125" customWidth="1"/>
    <col min="9" max="9" width="16.33203125" customWidth="1"/>
    <col min="10" max="10" width="16.83203125" customWidth="1"/>
    <col min="11" max="11" width="15.6640625" customWidth="1"/>
    <col min="12" max="12" width="14.33203125" customWidth="1"/>
    <col min="13" max="13" width="15.6640625" customWidth="1"/>
    <col min="14" max="14" width="14.83203125" customWidth="1"/>
    <col min="15" max="15" width="15.1640625" customWidth="1"/>
    <col min="16" max="16" width="15.5" customWidth="1"/>
  </cols>
  <sheetData>
    <row r="2" spans="2:9" ht="19" x14ac:dyDescent="0.25">
      <c r="B2" s="1" t="s">
        <v>361</v>
      </c>
    </row>
    <row r="3" spans="2:9" ht="19" x14ac:dyDescent="0.25">
      <c r="B3" s="1"/>
    </row>
    <row r="4" spans="2:9" ht="20" customHeight="1" x14ac:dyDescent="0.2">
      <c r="B4" t="s">
        <v>295</v>
      </c>
      <c r="C4" s="25">
        <f>'Versant - WACC'!C20</f>
        <v>9.6828645830625532E-2</v>
      </c>
      <c r="E4" s="10" t="s">
        <v>298</v>
      </c>
      <c r="F4" s="2"/>
      <c r="H4" s="10" t="s">
        <v>310</v>
      </c>
      <c r="I4" s="2"/>
    </row>
    <row r="5" spans="2:9" ht="20" customHeight="1" x14ac:dyDescent="0.2">
      <c r="C5" s="114"/>
      <c r="E5" t="s">
        <v>126</v>
      </c>
      <c r="F5" s="26">
        <v>-0.06</v>
      </c>
      <c r="H5" t="s">
        <v>276</v>
      </c>
      <c r="I5" s="115">
        <v>5</v>
      </c>
    </row>
    <row r="6" spans="2:9" x14ac:dyDescent="0.2">
      <c r="B6" t="s">
        <v>309</v>
      </c>
      <c r="C6" s="105">
        <f>'Versant - Adjustment'!C6</f>
        <v>144.15001896000001</v>
      </c>
    </row>
    <row r="7" spans="2:9" x14ac:dyDescent="0.2">
      <c r="C7" s="105"/>
      <c r="E7" t="s">
        <v>299</v>
      </c>
      <c r="F7" s="6">
        <f>P40</f>
        <v>1102.1071536442203</v>
      </c>
      <c r="H7" t="s">
        <v>311</v>
      </c>
      <c r="I7" s="6">
        <f>P47</f>
        <v>1120.7993630950707</v>
      </c>
    </row>
    <row r="8" spans="2:9" ht="20" customHeight="1" x14ac:dyDescent="0.2">
      <c r="C8" s="114"/>
    </row>
    <row r="9" spans="2:9" ht="20" customHeight="1" x14ac:dyDescent="0.2">
      <c r="C9" s="114"/>
      <c r="E9" t="s">
        <v>300</v>
      </c>
      <c r="F9" s="6">
        <f>F7*(1+F5)/(Cost_of_Capital-F5)</f>
        <v>6605.8131085594086</v>
      </c>
      <c r="H9" t="s">
        <v>300</v>
      </c>
      <c r="I9" s="6">
        <f>I7*I5</f>
        <v>5603.9968154753533</v>
      </c>
    </row>
    <row r="10" spans="2:9" ht="20" customHeight="1" x14ac:dyDescent="0.2">
      <c r="C10" s="114"/>
      <c r="E10" t="s">
        <v>301</v>
      </c>
      <c r="F10" s="108">
        <f>F9/P47</f>
        <v>5.8938408836328691</v>
      </c>
      <c r="H10" t="s">
        <v>312</v>
      </c>
      <c r="I10" s="25">
        <f>(I9*Cost_of_Capital-P40)/(I9+P40)</f>
        <v>-8.3428430775739457E-2</v>
      </c>
    </row>
    <row r="11" spans="2:9" x14ac:dyDescent="0.2">
      <c r="C11" s="114"/>
    </row>
    <row r="12" spans="2:9" x14ac:dyDescent="0.2">
      <c r="C12" s="114"/>
      <c r="E12" t="s">
        <v>302</v>
      </c>
      <c r="F12" s="6">
        <f>F9*P43</f>
        <v>2621.4310467931787</v>
      </c>
      <c r="H12" t="s">
        <v>302</v>
      </c>
      <c r="I12" s="6">
        <f>I9*P43</f>
        <v>2223.8732759759969</v>
      </c>
    </row>
    <row r="13" spans="2:9" x14ac:dyDescent="0.2">
      <c r="C13" s="114"/>
      <c r="E13" t="s">
        <v>303</v>
      </c>
      <c r="F13" s="6">
        <f>SUM(G45:P45)</f>
        <v>9902.5700474206369</v>
      </c>
      <c r="H13" t="s">
        <v>303</v>
      </c>
      <c r="I13" s="6">
        <f>SUM(G45:P45)</f>
        <v>9902.5700474206369</v>
      </c>
    </row>
    <row r="14" spans="2:9" x14ac:dyDescent="0.2">
      <c r="C14" s="114"/>
      <c r="E14" s="7" t="s">
        <v>304</v>
      </c>
      <c r="F14" s="6">
        <f>-'Versant - Adjustment'!F80</f>
        <v>-2955</v>
      </c>
      <c r="H14" s="7" t="s">
        <v>304</v>
      </c>
      <c r="I14" s="6">
        <f>F14</f>
        <v>-2955</v>
      </c>
    </row>
    <row r="15" spans="2:9" x14ac:dyDescent="0.2">
      <c r="C15" s="114"/>
      <c r="E15" s="7" t="s">
        <v>305</v>
      </c>
      <c r="F15" s="6">
        <f>'Versant - Adjustment'!F53</f>
        <v>785.83426864100511</v>
      </c>
      <c r="H15" s="7" t="s">
        <v>305</v>
      </c>
      <c r="I15" s="6">
        <f>F15</f>
        <v>785.83426864100511</v>
      </c>
    </row>
    <row r="16" spans="2:9" x14ac:dyDescent="0.2">
      <c r="C16" s="114"/>
      <c r="E16" s="4" t="s">
        <v>61</v>
      </c>
      <c r="F16" s="5">
        <f>SUM(F12:F15)</f>
        <v>10354.835362854821</v>
      </c>
      <c r="H16" s="4" t="s">
        <v>61</v>
      </c>
      <c r="I16" s="5">
        <f>SUM(I12:I15)</f>
        <v>9957.2775920376389</v>
      </c>
    </row>
    <row r="17" spans="2:16" x14ac:dyDescent="0.2">
      <c r="C17" s="114"/>
    </row>
    <row r="18" spans="2:16" x14ac:dyDescent="0.2">
      <c r="C18" s="114"/>
      <c r="E18" t="s">
        <v>360</v>
      </c>
      <c r="F18" s="6">
        <f>(F16/C6)*(1-Parent_Implied_Discount)</f>
        <v>50.283619844751584</v>
      </c>
      <c r="H18" t="s">
        <v>360</v>
      </c>
      <c r="I18" s="6">
        <f>(I16/C6)*(1-Parent_Implied_Discount)</f>
        <v>48.353058603207458</v>
      </c>
    </row>
    <row r="19" spans="2:16" x14ac:dyDescent="0.2">
      <c r="C19" s="114"/>
      <c r="E19" t="s">
        <v>307</v>
      </c>
      <c r="F19" s="25">
        <f>F18/'Versant - Adjustment'!$C$8-1</f>
        <v>-7.3465691462922811E-2</v>
      </c>
      <c r="H19" t="s">
        <v>307</v>
      </c>
      <c r="I19" s="25">
        <f>I18/'Versant - Adjustment'!$C$8-1</f>
        <v>-0.10903853268925456</v>
      </c>
    </row>
    <row r="20" spans="2:16" x14ac:dyDescent="0.2">
      <c r="C20" s="114"/>
      <c r="F20" s="25"/>
      <c r="I20" s="25"/>
    </row>
    <row r="21" spans="2:16" x14ac:dyDescent="0.2">
      <c r="C21" s="114"/>
      <c r="E21" t="s">
        <v>308</v>
      </c>
      <c r="F21" s="25">
        <f>F12/(F13+F12)</f>
        <v>0.20931258525714277</v>
      </c>
      <c r="H21" t="s">
        <v>308</v>
      </c>
      <c r="I21" s="25">
        <f>I12/(I13+I12)</f>
        <v>0.18339039870703711</v>
      </c>
    </row>
    <row r="23" spans="2:16" x14ac:dyDescent="0.2">
      <c r="B23" s="2"/>
      <c r="C23" s="126" t="s">
        <v>289</v>
      </c>
      <c r="D23" s="126"/>
      <c r="E23" s="126"/>
      <c r="F23" s="127"/>
      <c r="G23" s="128" t="s">
        <v>290</v>
      </c>
      <c r="H23" s="126"/>
      <c r="I23" s="126"/>
      <c r="J23" s="126"/>
      <c r="K23" s="126"/>
      <c r="L23" s="126"/>
      <c r="M23" s="126"/>
      <c r="N23" s="126"/>
      <c r="O23" s="126"/>
      <c r="P23" s="126"/>
    </row>
    <row r="24" spans="2:16" x14ac:dyDescent="0.2">
      <c r="B24" s="10" t="s">
        <v>288</v>
      </c>
      <c r="C24" s="109">
        <f>DATE(2022,12,31)</f>
        <v>44926</v>
      </c>
      <c r="D24" s="109">
        <f t="shared" ref="D24:P24" si="0">EOMONTH(C24,12)</f>
        <v>45291</v>
      </c>
      <c r="E24" s="109">
        <f t="shared" si="0"/>
        <v>45657</v>
      </c>
      <c r="F24" s="109">
        <f t="shared" si="0"/>
        <v>46022</v>
      </c>
      <c r="G24" s="109">
        <f t="shared" si="0"/>
        <v>46387</v>
      </c>
      <c r="H24" s="109">
        <f t="shared" si="0"/>
        <v>46752</v>
      </c>
      <c r="I24" s="109">
        <f t="shared" si="0"/>
        <v>47118</v>
      </c>
      <c r="J24" s="109">
        <f t="shared" si="0"/>
        <v>47483</v>
      </c>
      <c r="K24" s="109">
        <f t="shared" si="0"/>
        <v>47848</v>
      </c>
      <c r="L24" s="109">
        <f t="shared" si="0"/>
        <v>48213</v>
      </c>
      <c r="M24" s="109">
        <f t="shared" si="0"/>
        <v>48579</v>
      </c>
      <c r="N24" s="109">
        <f t="shared" si="0"/>
        <v>48944</v>
      </c>
      <c r="O24" s="109">
        <f t="shared" si="0"/>
        <v>49309</v>
      </c>
      <c r="P24" s="109">
        <f t="shared" si="0"/>
        <v>49674</v>
      </c>
    </row>
    <row r="25" spans="2:16" x14ac:dyDescent="0.2">
      <c r="B25" t="s">
        <v>1</v>
      </c>
      <c r="C25" s="6">
        <f>Versant!C6</f>
        <v>7834</v>
      </c>
      <c r="D25" s="6">
        <f>Versant!D6</f>
        <v>7445</v>
      </c>
      <c r="E25" s="6">
        <f>Versant!E6</f>
        <v>7062</v>
      </c>
      <c r="F25" s="6">
        <f>'Versant - Adjustment'!C28</f>
        <v>6638.28</v>
      </c>
      <c r="G25" s="6">
        <f>'Versant - Adjustment'!G28</f>
        <v>6903.8112000000001</v>
      </c>
      <c r="H25" s="6">
        <f>'Versant - Adjustment'!H28</f>
        <v>7249.0017600000001</v>
      </c>
      <c r="I25" s="6">
        <f>'Versant - Adjustment'!I28</f>
        <v>6814.0616543999995</v>
      </c>
      <c r="J25" s="6">
        <f>'Versant - Adjustment'!J28</f>
        <v>6405.2179551359995</v>
      </c>
      <c r="K25" s="6">
        <f>J25*(1+K26)</f>
        <v>6020.9048778278393</v>
      </c>
      <c r="L25" s="6">
        <f t="shared" ref="L25:P25" si="1">K25*(1+L26)</f>
        <v>5659.6505851581687</v>
      </c>
      <c r="M25" s="6">
        <f t="shared" si="1"/>
        <v>5320.0715500486785</v>
      </c>
      <c r="N25" s="6">
        <f t="shared" si="1"/>
        <v>5000.8672570457575</v>
      </c>
      <c r="O25" s="6">
        <f t="shared" si="1"/>
        <v>4700.8152216230119</v>
      </c>
      <c r="P25" s="6">
        <f t="shared" si="1"/>
        <v>4418.7663083256311</v>
      </c>
    </row>
    <row r="26" spans="2:16" x14ac:dyDescent="0.2">
      <c r="B26" s="111" t="s">
        <v>126</v>
      </c>
      <c r="C26" s="112"/>
      <c r="D26" s="113">
        <f>D25/C25-1</f>
        <v>-4.9655348480980299E-2</v>
      </c>
      <c r="E26" s="113">
        <f t="shared" ref="E26:J26" si="2">E25/D25-1</f>
        <v>-5.1443922095365968E-2</v>
      </c>
      <c r="F26" s="113">
        <f t="shared" si="2"/>
        <v>-6.0000000000000053E-2</v>
      </c>
      <c r="G26" s="113">
        <f t="shared" si="2"/>
        <v>4.0000000000000036E-2</v>
      </c>
      <c r="H26" s="113">
        <f t="shared" si="2"/>
        <v>5.0000000000000044E-2</v>
      </c>
      <c r="I26" s="113">
        <f t="shared" si="2"/>
        <v>-6.0000000000000053E-2</v>
      </c>
      <c r="J26" s="113">
        <f t="shared" si="2"/>
        <v>-5.9999999999999942E-2</v>
      </c>
      <c r="K26" s="26">
        <v>-0.06</v>
      </c>
      <c r="L26" s="26">
        <v>-0.06</v>
      </c>
      <c r="M26" s="26">
        <v>-0.06</v>
      </c>
      <c r="N26" s="26">
        <v>-0.06</v>
      </c>
      <c r="O26" s="26">
        <v>-0.06</v>
      </c>
      <c r="P26" s="26">
        <v>-0.06</v>
      </c>
    </row>
    <row r="28" spans="2:16" x14ac:dyDescent="0.2">
      <c r="B28" t="s">
        <v>3</v>
      </c>
      <c r="C28" s="6">
        <f>Versant!C15</f>
        <v>2410</v>
      </c>
      <c r="D28" s="6">
        <f>Versant!D15</f>
        <v>2069</v>
      </c>
      <c r="E28" s="6">
        <f>Versant!E15</f>
        <v>1842</v>
      </c>
      <c r="F28" s="6">
        <f>'Versant - Adjustment'!C39</f>
        <v>1625.2675199999999</v>
      </c>
      <c r="G28" s="6">
        <f>'Versant - Adjustment'!G39</f>
        <v>1059.5504575999998</v>
      </c>
      <c r="H28" s="6">
        <f>'Versant - Adjustment'!H39</f>
        <v>1035.3939523200002</v>
      </c>
      <c r="I28" s="6">
        <f>'Versant - Adjustment'!I39</f>
        <v>864.24532871039992</v>
      </c>
      <c r="J28" s="6">
        <f>'Versant - Adjustment'!J39</f>
        <v>709.90712170559982</v>
      </c>
      <c r="K28" s="6">
        <f>K29*K25</f>
        <v>602.09048778278395</v>
      </c>
      <c r="L28" s="6">
        <f t="shared" ref="L28:P28" si="3">L29*L25</f>
        <v>560.3054079306587</v>
      </c>
      <c r="M28" s="6">
        <f t="shared" si="3"/>
        <v>521.36701190477049</v>
      </c>
      <c r="N28" s="6">
        <f t="shared" si="3"/>
        <v>485.08412393343849</v>
      </c>
      <c r="O28" s="6">
        <f t="shared" si="3"/>
        <v>451.27826127580914</v>
      </c>
      <c r="P28" s="6">
        <f t="shared" si="3"/>
        <v>419.78279929093497</v>
      </c>
    </row>
    <row r="29" spans="2:16" x14ac:dyDescent="0.2">
      <c r="B29" s="111" t="s">
        <v>292</v>
      </c>
      <c r="C29" s="113">
        <f>C28/C25</f>
        <v>0.30763339290273167</v>
      </c>
      <c r="D29" s="113">
        <f t="shared" ref="D29:J29" si="4">D28/D25</f>
        <v>0.27790463398253862</v>
      </c>
      <c r="E29" s="113">
        <f t="shared" si="4"/>
        <v>0.26083262531860663</v>
      </c>
      <c r="F29" s="113">
        <f t="shared" si="4"/>
        <v>0.24483262531860661</v>
      </c>
      <c r="G29" s="113">
        <f t="shared" si="4"/>
        <v>0.15347326670810463</v>
      </c>
      <c r="H29" s="113">
        <f t="shared" si="4"/>
        <v>0.14283262531860666</v>
      </c>
      <c r="I29" s="113">
        <f t="shared" si="4"/>
        <v>0.12683262531860662</v>
      </c>
      <c r="J29" s="113">
        <f t="shared" si="4"/>
        <v>0.1108326253186066</v>
      </c>
      <c r="K29" s="26">
        <v>0.1</v>
      </c>
      <c r="L29" s="26">
        <f t="shared" ref="L29:P29" si="5">K29-0.1%</f>
        <v>9.9000000000000005E-2</v>
      </c>
      <c r="M29" s="26">
        <f t="shared" si="5"/>
        <v>9.8000000000000004E-2</v>
      </c>
      <c r="N29" s="26">
        <f t="shared" si="5"/>
        <v>9.7000000000000003E-2</v>
      </c>
      <c r="O29" s="26">
        <f t="shared" si="5"/>
        <v>9.6000000000000002E-2</v>
      </c>
      <c r="P29" s="26">
        <f t="shared" si="5"/>
        <v>9.5000000000000001E-2</v>
      </c>
    </row>
    <row r="31" spans="2:16" x14ac:dyDescent="0.2">
      <c r="B31" t="s">
        <v>18</v>
      </c>
      <c r="C31" s="6">
        <f>Versant!C27</f>
        <v>992</v>
      </c>
      <c r="D31" s="6">
        <f>Versant!D27</f>
        <v>991</v>
      </c>
      <c r="E31" s="6">
        <f>Versant!E27</f>
        <v>989</v>
      </c>
      <c r="F31" s="6">
        <f>'Versant - Adjustment'!C93</f>
        <v>949.57483999999999</v>
      </c>
      <c r="G31" s="6">
        <f>'Versant - Adjustment'!G93</f>
        <v>1008.2692672000002</v>
      </c>
      <c r="H31" s="6">
        <f>'Versant - Adjustment'!H93</f>
        <v>1080.4297358400001</v>
      </c>
      <c r="I31" s="6">
        <f>'Versant - Adjustment'!I93</f>
        <v>1036.0461366528</v>
      </c>
      <c r="J31" s="6">
        <f>'Versant - Adjustment'!J93</f>
        <v>993.09902231904005</v>
      </c>
      <c r="K31" s="6">
        <f>K32*K25</f>
        <v>937.12562390659423</v>
      </c>
      <c r="L31" s="6">
        <f t="shared" ref="L31:P31" si="6">L32*L25</f>
        <v>884.29387682329343</v>
      </c>
      <c r="M31" s="6">
        <f t="shared" si="6"/>
        <v>834.42828714392499</v>
      </c>
      <c r="N31" s="6">
        <f t="shared" si="6"/>
        <v>787.36311026951682</v>
      </c>
      <c r="O31" s="6">
        <f t="shared" si="6"/>
        <v>742.94181278631959</v>
      </c>
      <c r="P31" s="6">
        <f t="shared" si="6"/>
        <v>701.01656380413567</v>
      </c>
    </row>
    <row r="32" spans="2:16" x14ac:dyDescent="0.2">
      <c r="B32" s="111" t="s">
        <v>129</v>
      </c>
      <c r="C32" s="113">
        <f>C31/C25</f>
        <v>0.12662752106203728</v>
      </c>
      <c r="D32" s="113">
        <f t="shared" ref="D32:J32" si="7">D31/D25</f>
        <v>0.1331094694425789</v>
      </c>
      <c r="E32" s="113">
        <f t="shared" si="7"/>
        <v>0.14004531294250921</v>
      </c>
      <c r="F32" s="113">
        <f t="shared" si="7"/>
        <v>0.14304531294250922</v>
      </c>
      <c r="G32" s="113">
        <f t="shared" si="7"/>
        <v>0.14604531294250922</v>
      </c>
      <c r="H32" s="113">
        <f t="shared" si="7"/>
        <v>0.14904531294250922</v>
      </c>
      <c r="I32" s="113">
        <f t="shared" si="7"/>
        <v>0.15204531294250923</v>
      </c>
      <c r="J32" s="113">
        <f t="shared" si="7"/>
        <v>0.15504531294250923</v>
      </c>
      <c r="K32" s="26">
        <f>J32+0.06%</f>
        <v>0.15564531294250922</v>
      </c>
      <c r="L32" s="26">
        <f t="shared" ref="L32:P32" si="8">K32+0.06%</f>
        <v>0.15624531294250921</v>
      </c>
      <c r="M32" s="26">
        <f t="shared" si="8"/>
        <v>0.1568453129425092</v>
      </c>
      <c r="N32" s="26">
        <f t="shared" si="8"/>
        <v>0.15744531294250919</v>
      </c>
      <c r="O32" s="26">
        <f t="shared" si="8"/>
        <v>0.15804531294250918</v>
      </c>
      <c r="P32" s="26">
        <f t="shared" si="8"/>
        <v>0.15864531294250916</v>
      </c>
    </row>
    <row r="34" spans="2:16" x14ac:dyDescent="0.2">
      <c r="B34" t="s">
        <v>29</v>
      </c>
      <c r="C34" s="6">
        <f>Versant!C39</f>
        <v>-65</v>
      </c>
      <c r="D34" s="6">
        <f>Versant!D39</f>
        <v>-56</v>
      </c>
      <c r="E34" s="6">
        <f>Versant!E39</f>
        <v>-54</v>
      </c>
      <c r="F34" s="6">
        <f>'Versant - Adjustment'!C105+'Versant - Adjustment'!C106+'Versant - Adjustment'!C107</f>
        <v>-54.787099999999995</v>
      </c>
      <c r="G34" s="6">
        <f>SUM('Versant - Adjustment'!G105:G107)</f>
        <v>-154.778584</v>
      </c>
      <c r="H34" s="6">
        <f>SUM('Versant - Adjustment'!H105:H107)</f>
        <v>-157.36751319999999</v>
      </c>
      <c r="I34" s="6">
        <f>SUM('Versant - Adjustment'!I105:I107)</f>
        <v>-154.10546240799999</v>
      </c>
      <c r="J34" s="6">
        <f>SUM('Versant - Adjustment'!J105:J107)</f>
        <v>-151.03913466352</v>
      </c>
      <c r="K34" s="6">
        <f>K35*-K25</f>
        <v>-129.93497682805312</v>
      </c>
      <c r="L34" s="6">
        <f t="shared" ref="L34:P34" si="9">L35*-L25</f>
        <v>-110.81957704805359</v>
      </c>
      <c r="M34" s="6">
        <f t="shared" si="9"/>
        <v>-93.530259325073004</v>
      </c>
      <c r="N34" s="6">
        <f t="shared" si="9"/>
        <v>-77.916709251477101</v>
      </c>
      <c r="O34" s="6">
        <f t="shared" si="9"/>
        <v>-63.840076253142449</v>
      </c>
      <c r="P34" s="6">
        <f t="shared" si="9"/>
        <v>-51.172139061302644</v>
      </c>
    </row>
    <row r="35" spans="2:16" x14ac:dyDescent="0.2">
      <c r="B35" s="111" t="s">
        <v>129</v>
      </c>
      <c r="C35" s="113">
        <f>-C34/C25</f>
        <v>8.2971661986213936E-3</v>
      </c>
      <c r="D35" s="113">
        <f t="shared" ref="D35:J35" si="10">-D34/D25</f>
        <v>7.5218267293485561E-3</v>
      </c>
      <c r="E35" s="113">
        <f t="shared" si="10"/>
        <v>7.6465590484282074E-3</v>
      </c>
      <c r="F35" s="113">
        <f t="shared" si="10"/>
        <v>8.2532071560705474E-3</v>
      </c>
      <c r="G35" s="113">
        <f t="shared" si="10"/>
        <v>2.2419295591397399E-2</v>
      </c>
      <c r="H35" s="113">
        <f t="shared" si="10"/>
        <v>2.1708852944187999E-2</v>
      </c>
      <c r="I35" s="113">
        <f t="shared" si="10"/>
        <v>2.2615801004455319E-2</v>
      </c>
      <c r="J35" s="113">
        <f t="shared" si="10"/>
        <v>2.3580639366441832E-2</v>
      </c>
      <c r="K35" s="26">
        <f>J35-0.2%</f>
        <v>2.1580639366441834E-2</v>
      </c>
      <c r="L35" s="26">
        <f t="shared" ref="L35:P35" si="11">K35-0.2%</f>
        <v>1.9580639366441832E-2</v>
      </c>
      <c r="M35" s="26">
        <f t="shared" si="11"/>
        <v>1.758063936644183E-2</v>
      </c>
      <c r="N35" s="26">
        <f t="shared" si="11"/>
        <v>1.558063936644183E-2</v>
      </c>
      <c r="O35" s="26">
        <f t="shared" si="11"/>
        <v>1.358063936644183E-2</v>
      </c>
      <c r="P35" s="26">
        <f t="shared" si="11"/>
        <v>1.158063936644183E-2</v>
      </c>
    </row>
    <row r="37" spans="2:16" x14ac:dyDescent="0.2">
      <c r="B37" t="s">
        <v>291</v>
      </c>
      <c r="C37" s="6">
        <f>Versant!C36</f>
        <v>-167</v>
      </c>
      <c r="D37" s="6">
        <f>Versant!D36</f>
        <v>17</v>
      </c>
      <c r="E37" s="6">
        <f>Versant!E36</f>
        <v>-14</v>
      </c>
      <c r="F37" s="6">
        <f>'Versant - Adjustment'!C102</f>
        <v>141.82626144189535</v>
      </c>
      <c r="G37" s="6">
        <f>'Versant - Adjustment'!G102</f>
        <v>22.690430203646706</v>
      </c>
      <c r="H37" s="6">
        <f>'Versant - Adjustment'!H102</f>
        <v>15.344661178266804</v>
      </c>
      <c r="I37" s="6">
        <f>'Versant - Adjustment'!I102</f>
        <v>131.57951902175859</v>
      </c>
      <c r="J37" s="6">
        <f>'Versant - Adjustment'!J102</f>
        <v>119.22566886848119</v>
      </c>
      <c r="K37" s="6">
        <f>(K25-J25)*K38</f>
        <v>44.256372249108132</v>
      </c>
      <c r="L37" s="6">
        <f t="shared" ref="L37:P37" si="12">(L25-K25)*L38</f>
        <v>41.600989914161637</v>
      </c>
      <c r="M37" s="6">
        <f t="shared" si="12"/>
        <v>39.104930519311921</v>
      </c>
      <c r="N37" s="6">
        <f t="shared" si="12"/>
        <v>36.758634688153244</v>
      </c>
      <c r="O37" s="6">
        <f t="shared" si="12"/>
        <v>34.553116606864023</v>
      </c>
      <c r="P37" s="6">
        <f t="shared" si="12"/>
        <v>32.479929610452167</v>
      </c>
    </row>
    <row r="38" spans="2:16" x14ac:dyDescent="0.2">
      <c r="B38" s="111" t="s">
        <v>293</v>
      </c>
      <c r="C38" s="112"/>
      <c r="D38" s="113">
        <f>D37/(D25-C25)</f>
        <v>-4.3701799485861184E-2</v>
      </c>
      <c r="E38" s="113">
        <f t="shared" ref="E38:J38" si="13">E37/(E25-D25)</f>
        <v>3.6553524804177548E-2</v>
      </c>
      <c r="F38" s="113">
        <f t="shared" si="13"/>
        <v>-0.33471693911520645</v>
      </c>
      <c r="G38" s="113">
        <f t="shared" si="13"/>
        <v>8.545297201852993E-2</v>
      </c>
      <c r="H38" s="113">
        <f t="shared" si="13"/>
        <v>4.4452725411340342E-2</v>
      </c>
      <c r="I38" s="113">
        <f t="shared" si="13"/>
        <v>-0.3025233068361089</v>
      </c>
      <c r="J38" s="113">
        <f t="shared" si="13"/>
        <v>-0.29161674518431158</v>
      </c>
      <c r="K38" s="26">
        <f>AVERAGE(D38:J38)</f>
        <v>-0.11515708119820575</v>
      </c>
      <c r="L38" s="26">
        <f>K38</f>
        <v>-0.11515708119820575</v>
      </c>
      <c r="M38" s="26">
        <f t="shared" ref="M38:P38" si="14">L38</f>
        <v>-0.11515708119820575</v>
      </c>
      <c r="N38" s="26">
        <f t="shared" si="14"/>
        <v>-0.11515708119820575</v>
      </c>
      <c r="O38" s="26">
        <f t="shared" si="14"/>
        <v>-0.11515708119820575</v>
      </c>
      <c r="P38" s="26">
        <f t="shared" si="14"/>
        <v>-0.11515708119820575</v>
      </c>
    </row>
    <row r="40" spans="2:16" x14ac:dyDescent="0.2">
      <c r="B40" s="4" t="s">
        <v>288</v>
      </c>
      <c r="C40" s="5">
        <f>C28+C31+C34+C37</f>
        <v>3170</v>
      </c>
      <c r="D40" s="5">
        <f t="shared" ref="D40:P40" si="15">D28+D31+D34+D37</f>
        <v>3021</v>
      </c>
      <c r="E40" s="5">
        <f t="shared" si="15"/>
        <v>2763</v>
      </c>
      <c r="F40" s="5">
        <f t="shared" si="15"/>
        <v>2661.8815214418951</v>
      </c>
      <c r="G40" s="5">
        <f t="shared" si="15"/>
        <v>1935.7315710036469</v>
      </c>
      <c r="H40" s="5">
        <f t="shared" si="15"/>
        <v>1973.8008361382672</v>
      </c>
      <c r="I40" s="5">
        <f t="shared" si="15"/>
        <v>1877.7655219769586</v>
      </c>
      <c r="J40" s="5">
        <f t="shared" si="15"/>
        <v>1671.1926782296014</v>
      </c>
      <c r="K40" s="5">
        <f t="shared" si="15"/>
        <v>1453.5375071104331</v>
      </c>
      <c r="L40" s="5">
        <f t="shared" si="15"/>
        <v>1375.3806976200601</v>
      </c>
      <c r="M40" s="5">
        <f t="shared" si="15"/>
        <v>1301.3699702429344</v>
      </c>
      <c r="N40" s="5">
        <f t="shared" si="15"/>
        <v>1231.2891596396314</v>
      </c>
      <c r="O40" s="5">
        <f t="shared" si="15"/>
        <v>1164.9331144158505</v>
      </c>
      <c r="P40" s="5">
        <f t="shared" si="15"/>
        <v>1102.1071536442203</v>
      </c>
    </row>
    <row r="42" spans="2:16" x14ac:dyDescent="0.2">
      <c r="B42" t="s">
        <v>294</v>
      </c>
      <c r="G42">
        <v>1</v>
      </c>
      <c r="H42">
        <v>2</v>
      </c>
      <c r="I42">
        <v>3</v>
      </c>
      <c r="J42">
        <v>4</v>
      </c>
      <c r="K42">
        <v>5</v>
      </c>
      <c r="L42">
        <v>6</v>
      </c>
      <c r="M42">
        <v>7</v>
      </c>
      <c r="N42">
        <v>8</v>
      </c>
      <c r="O42">
        <v>9</v>
      </c>
      <c r="P42">
        <v>10</v>
      </c>
    </row>
    <row r="43" spans="2:16" x14ac:dyDescent="0.2">
      <c r="B43" t="s">
        <v>296</v>
      </c>
      <c r="G43">
        <f t="shared" ref="G43:P43" si="16">1/(1+Parent_Cost_of_Capital)^G42</f>
        <v>0.91171944113722758</v>
      </c>
      <c r="H43">
        <f t="shared" si="16"/>
        <v>0.83123233934757845</v>
      </c>
      <c r="I43">
        <f t="shared" si="16"/>
        <v>0.75785068388516441</v>
      </c>
      <c r="J43">
        <f t="shared" si="16"/>
        <v>0.69094720197724779</v>
      </c>
      <c r="K43">
        <f t="shared" si="16"/>
        <v>0.62994999684202746</v>
      </c>
      <c r="L43">
        <f t="shared" si="16"/>
        <v>0.5743376590652115</v>
      </c>
      <c r="M43">
        <f t="shared" si="16"/>
        <v>0.52363480954699815</v>
      </c>
      <c r="N43">
        <f t="shared" si="16"/>
        <v>0.47740803592018771</v>
      </c>
      <c r="O43">
        <f t="shared" si="16"/>
        <v>0.435262187703575</v>
      </c>
      <c r="P43">
        <f t="shared" si="16"/>
        <v>0.39683699852127041</v>
      </c>
    </row>
    <row r="45" spans="2:16" x14ac:dyDescent="0.2">
      <c r="B45" t="s">
        <v>297</v>
      </c>
      <c r="G45" s="6">
        <f>G40*G43</f>
        <v>1764.8441061071326</v>
      </c>
      <c r="H45" s="6">
        <f t="shared" ref="H45:P45" si="17">H40*H43</f>
        <v>1640.6870864294183</v>
      </c>
      <c r="I45" s="6">
        <f t="shared" si="17"/>
        <v>1423.0658850062207</v>
      </c>
      <c r="J45" s="6">
        <f t="shared" si="17"/>
        <v>1154.7059049876061</v>
      </c>
      <c r="K45" s="6">
        <f t="shared" si="17"/>
        <v>915.65594801398584</v>
      </c>
      <c r="L45" s="6">
        <f t="shared" si="17"/>
        <v>789.93293019458281</v>
      </c>
      <c r="M45" s="6">
        <f t="shared" si="17"/>
        <v>681.44261651834165</v>
      </c>
      <c r="N45" s="6">
        <f t="shared" si="17"/>
        <v>587.8273393533749</v>
      </c>
      <c r="O45" s="6">
        <f t="shared" si="17"/>
        <v>507.05133590898214</v>
      </c>
      <c r="P45" s="6">
        <f t="shared" si="17"/>
        <v>437.35689490099298</v>
      </c>
    </row>
    <row r="47" spans="2:16" x14ac:dyDescent="0.2">
      <c r="B47" s="4" t="s">
        <v>187</v>
      </c>
      <c r="C47" s="6">
        <f>C28+C31</f>
        <v>3402</v>
      </c>
      <c r="D47" s="6">
        <f t="shared" ref="D47:P47" si="18">D28+D31</f>
        <v>3060</v>
      </c>
      <c r="E47" s="6">
        <f t="shared" si="18"/>
        <v>2831</v>
      </c>
      <c r="F47" s="6">
        <f t="shared" si="18"/>
        <v>2574.8423599999996</v>
      </c>
      <c r="G47" s="6">
        <f t="shared" si="18"/>
        <v>2067.8197248000001</v>
      </c>
      <c r="H47" s="6">
        <f t="shared" si="18"/>
        <v>2115.8236881600005</v>
      </c>
      <c r="I47" s="6">
        <f t="shared" si="18"/>
        <v>1900.2914653631999</v>
      </c>
      <c r="J47" s="6">
        <f t="shared" si="18"/>
        <v>1703.00614402464</v>
      </c>
      <c r="K47" s="6">
        <f t="shared" si="18"/>
        <v>1539.2161116893781</v>
      </c>
      <c r="L47" s="6">
        <f t="shared" si="18"/>
        <v>1444.5992847539521</v>
      </c>
      <c r="M47" s="6">
        <f t="shared" si="18"/>
        <v>1355.7952990486956</v>
      </c>
      <c r="N47" s="6">
        <f t="shared" si="18"/>
        <v>1272.4472342029553</v>
      </c>
      <c r="O47" s="6">
        <f t="shared" si="18"/>
        <v>1194.2200740621288</v>
      </c>
      <c r="P47" s="6">
        <f t="shared" si="18"/>
        <v>1120.7993630950707</v>
      </c>
    </row>
    <row r="50" spans="2:11" x14ac:dyDescent="0.2">
      <c r="B50" s="126" t="s">
        <v>346</v>
      </c>
      <c r="C50" s="126"/>
      <c r="D50" s="126"/>
      <c r="E50" s="126"/>
      <c r="F50" s="126"/>
      <c r="G50" s="126"/>
      <c r="H50" s="126"/>
    </row>
    <row r="51" spans="2:11" x14ac:dyDescent="0.2">
      <c r="B51" s="121">
        <f>F18</f>
        <v>50.283619844751584</v>
      </c>
      <c r="C51" s="117">
        <v>0</v>
      </c>
      <c r="D51" s="117">
        <f>C51+0.5%</f>
        <v>5.0000000000000001E-3</v>
      </c>
      <c r="E51" s="117">
        <f t="shared" ref="E51:H51" si="19">D51+0.5%</f>
        <v>0.01</v>
      </c>
      <c r="F51" s="117">
        <f t="shared" si="19"/>
        <v>1.4999999999999999E-2</v>
      </c>
      <c r="G51" s="117">
        <f t="shared" si="19"/>
        <v>0.02</v>
      </c>
      <c r="H51" s="117">
        <f t="shared" si="19"/>
        <v>2.5000000000000001E-2</v>
      </c>
      <c r="I51" s="116"/>
      <c r="J51" s="116"/>
      <c r="K51" s="116"/>
    </row>
    <row r="52" spans="2:11" x14ac:dyDescent="0.2">
      <c r="B52" s="117">
        <v>6.6600000000000006E-2</v>
      </c>
      <c r="C52" s="6">
        <f t="dataTable" ref="C52:H57" dt2D="1" dtr="1" r1="F5" r2="C4" ca="1"/>
        <v>85.879848882895189</v>
      </c>
      <c r="D52" s="6">
        <v>89.530816714230852</v>
      </c>
      <c r="E52" s="5">
        <v>93.82683186559052</v>
      </c>
      <c r="F52" s="6">
        <v>98.955408092795082</v>
      </c>
      <c r="G52" s="6">
        <v>105.18453715845554</v>
      </c>
      <c r="H52" s="6">
        <v>112.91105301874595</v>
      </c>
    </row>
    <row r="53" spans="2:11" x14ac:dyDescent="0.2">
      <c r="B53" s="117">
        <f>B52+1%</f>
        <v>7.6600000000000001E-2</v>
      </c>
      <c r="C53" s="6">
        <v>74.936067815334482</v>
      </c>
      <c r="D53" s="6">
        <v>77.447063640222837</v>
      </c>
      <c r="E53" s="5">
        <v>80.335085865244622</v>
      </c>
      <c r="F53" s="6">
        <v>83.691942867055602</v>
      </c>
      <c r="G53" s="6">
        <v>87.641884144804948</v>
      </c>
      <c r="H53" s="6">
        <v>92.35731791824216</v>
      </c>
    </row>
    <row r="54" spans="2:11" x14ac:dyDescent="0.2">
      <c r="B54" s="117">
        <f t="shared" ref="B54:B57" si="20">B53+1%</f>
        <v>8.6599999999999996E-2</v>
      </c>
      <c r="C54" s="5">
        <v>66.436612074219838</v>
      </c>
      <c r="D54" s="5">
        <v>68.229866060046277</v>
      </c>
      <c r="E54" s="5">
        <v>70.257226310340926</v>
      </c>
      <c r="F54" s="5">
        <v>72.567737433581755</v>
      </c>
      <c r="G54" s="5">
        <v>75.225172148900796</v>
      </c>
      <c r="H54" s="5">
        <v>78.314008603719657</v>
      </c>
    </row>
    <row r="55" spans="2:11" x14ac:dyDescent="0.2">
      <c r="B55" s="117">
        <f t="shared" si="20"/>
        <v>9.6599999999999991E-2</v>
      </c>
      <c r="C55" s="6">
        <v>59.627698797574723</v>
      </c>
      <c r="D55" s="6">
        <v>60.946472832579488</v>
      </c>
      <c r="E55" s="5">
        <v>62.417530243450862</v>
      </c>
      <c r="F55" s="6">
        <v>64.068864297811373</v>
      </c>
      <c r="G55" s="6">
        <v>65.935777210443504</v>
      </c>
      <c r="H55" s="6">
        <v>68.063432149979533</v>
      </c>
    </row>
    <row r="56" spans="2:11" x14ac:dyDescent="0.2">
      <c r="B56" s="117">
        <f t="shared" si="20"/>
        <v>0.10659999999999999</v>
      </c>
      <c r="C56" s="6">
        <v>54.037983825686766</v>
      </c>
      <c r="D56" s="6">
        <v>55.03089467535365</v>
      </c>
      <c r="E56" s="5">
        <v>56.126591327263476</v>
      </c>
      <c r="F56" s="6">
        <v>57.341905517591414</v>
      </c>
      <c r="G56" s="6">
        <v>58.697556219504555</v>
      </c>
      <c r="H56" s="6">
        <v>60.21934058586784</v>
      </c>
    </row>
    <row r="57" spans="2:11" x14ac:dyDescent="0.2">
      <c r="B57" s="117">
        <f t="shared" si="20"/>
        <v>0.11659999999999998</v>
      </c>
      <c r="C57" s="6">
        <v>49.357482933918071</v>
      </c>
      <c r="D57" s="6">
        <v>50.119624775774469</v>
      </c>
      <c r="E57" s="5">
        <v>50.953262099981366</v>
      </c>
      <c r="F57" s="6">
        <v>51.868950341925171</v>
      </c>
      <c r="G57" s="6">
        <v>52.879430327341431</v>
      </c>
      <c r="H57" s="6">
        <v>54.000224721645907</v>
      </c>
    </row>
    <row r="60" spans="2:11" x14ac:dyDescent="0.2">
      <c r="B60" s="126" t="s">
        <v>276</v>
      </c>
      <c r="C60" s="126"/>
      <c r="D60" s="126"/>
      <c r="E60" s="126"/>
      <c r="F60" s="126"/>
      <c r="G60" s="126"/>
      <c r="H60" s="126"/>
    </row>
    <row r="61" spans="2:11" x14ac:dyDescent="0.2">
      <c r="B61" s="121">
        <f>I18</f>
        <v>48.353058603207458</v>
      </c>
      <c r="C61" s="122">
        <v>4</v>
      </c>
      <c r="D61" s="122">
        <v>5</v>
      </c>
      <c r="E61" s="122">
        <v>6</v>
      </c>
      <c r="F61" s="122">
        <f>E61+1</f>
        <v>7</v>
      </c>
      <c r="G61" s="122">
        <f t="shared" ref="G61:H61" si="21">F61+1</f>
        <v>8</v>
      </c>
      <c r="H61" s="122">
        <f t="shared" si="21"/>
        <v>9</v>
      </c>
    </row>
    <row r="62" spans="2:11" x14ac:dyDescent="0.2">
      <c r="B62" s="117">
        <v>6.6600000000000006E-2</v>
      </c>
      <c r="C62" s="6">
        <f t="dataTable" ref="C62:H67" dt2D="1" dtr="1" r1="I5" r2="C4"/>
        <v>55.13351369850038</v>
      </c>
      <c r="D62" s="6">
        <v>57.989758442167201</v>
      </c>
      <c r="E62" s="5">
        <v>60.846003185834029</v>
      </c>
      <c r="F62" s="6">
        <v>63.702247929500835</v>
      </c>
      <c r="G62" s="6">
        <v>66.558492673167663</v>
      </c>
      <c r="H62" s="6">
        <v>69.414737416834498</v>
      </c>
    </row>
    <row r="63" spans="2:11" x14ac:dyDescent="0.2">
      <c r="B63" s="117">
        <f>B62+1%</f>
        <v>7.6600000000000001E-2</v>
      </c>
      <c r="C63" s="6">
        <v>51.94402326811479</v>
      </c>
      <c r="D63" s="6">
        <v>54.545784612361672</v>
      </c>
      <c r="E63" s="5">
        <v>57.147545956608553</v>
      </c>
      <c r="F63" s="6">
        <v>59.749307300855442</v>
      </c>
      <c r="G63" s="6">
        <v>62.351068645102323</v>
      </c>
      <c r="H63" s="6">
        <v>64.952829989349198</v>
      </c>
    </row>
    <row r="64" spans="2:11" x14ac:dyDescent="0.2">
      <c r="B64" s="117">
        <f t="shared" ref="B64:B67" si="22">B63+1%</f>
        <v>8.6599999999999996E-2</v>
      </c>
      <c r="C64" s="5">
        <v>48.991134765440584</v>
      </c>
      <c r="D64" s="5">
        <v>51.36313214372332</v>
      </c>
      <c r="E64" s="5">
        <v>53.735129522006041</v>
      </c>
      <c r="F64" s="5">
        <v>56.107126900288769</v>
      </c>
      <c r="G64" s="5">
        <v>58.47912427857149</v>
      </c>
      <c r="H64" s="5">
        <v>60.851121656854218</v>
      </c>
    </row>
    <row r="65" spans="2:8" x14ac:dyDescent="0.2">
      <c r="B65" s="117">
        <f t="shared" si="22"/>
        <v>9.6599999999999991E-2</v>
      </c>
      <c r="C65" s="6">
        <v>46.253444755936123</v>
      </c>
      <c r="D65" s="6">
        <v>48.417801253115243</v>
      </c>
      <c r="E65" s="5">
        <v>50.58215775029435</v>
      </c>
      <c r="F65" s="6">
        <v>52.746514247473471</v>
      </c>
      <c r="G65" s="6">
        <v>54.910870744652591</v>
      </c>
      <c r="H65" s="6">
        <v>57.075227241831705</v>
      </c>
    </row>
    <row r="66" spans="2:8" x14ac:dyDescent="0.2">
      <c r="B66" s="117">
        <f t="shared" si="22"/>
        <v>0.10659999999999999</v>
      </c>
      <c r="C66" s="6">
        <v>43.711747552416419</v>
      </c>
      <c r="D66" s="6">
        <v>45.688282751501461</v>
      </c>
      <c r="E66" s="5">
        <v>47.664817950586517</v>
      </c>
      <c r="F66" s="6">
        <v>49.641353149671559</v>
      </c>
      <c r="G66" s="6">
        <v>51.617888348756615</v>
      </c>
      <c r="H66" s="6">
        <v>53.594423547841664</v>
      </c>
    </row>
    <row r="67" spans="2:8" x14ac:dyDescent="0.2">
      <c r="B67" s="117">
        <f t="shared" si="22"/>
        <v>0.11659999999999998</v>
      </c>
      <c r="C67" s="6">
        <v>41.348787027956526</v>
      </c>
      <c r="D67" s="6">
        <v>43.155274593252543</v>
      </c>
      <c r="E67" s="5">
        <v>44.961762158548567</v>
      </c>
      <c r="F67" s="6">
        <v>46.768249723844598</v>
      </c>
      <c r="G67" s="6">
        <v>48.574737289140621</v>
      </c>
      <c r="H67" s="6">
        <v>50.381224854436645</v>
      </c>
    </row>
  </sheetData>
  <mergeCells count="4">
    <mergeCell ref="C23:F23"/>
    <mergeCell ref="G23:P23"/>
    <mergeCell ref="B50:H50"/>
    <mergeCell ref="B60:H6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18</vt:i4>
      </vt:variant>
    </vt:vector>
  </HeadingPairs>
  <TitlesOfParts>
    <vt:vector size="27" baseType="lpstr">
      <vt:lpstr>Comcast</vt:lpstr>
      <vt:lpstr>Comcast - Adjustment</vt:lpstr>
      <vt:lpstr>Comcast - DFCF</vt:lpstr>
      <vt:lpstr>Comcast - WACC</vt:lpstr>
      <vt:lpstr>Comcast - SOTP</vt:lpstr>
      <vt:lpstr>Versant</vt:lpstr>
      <vt:lpstr>Versant - Adjustment</vt:lpstr>
      <vt:lpstr>Versant - WACC</vt:lpstr>
      <vt:lpstr>Venant - DFCF</vt:lpstr>
      <vt:lpstr>'Venant - DFCF'!Cost_of_Capital</vt:lpstr>
      <vt:lpstr>Cost_of_Capital</vt:lpstr>
      <vt:lpstr>Equity_Risk_Premium</vt:lpstr>
      <vt:lpstr>'Venant - DFCF'!Parent_Cost_of_Capital</vt:lpstr>
      <vt:lpstr>Parent_Cost_of_Capital</vt:lpstr>
      <vt:lpstr>Parent_Implied_Discount</vt:lpstr>
      <vt:lpstr>Parent_Marginal_Rate</vt:lpstr>
      <vt:lpstr>Parent_Share_Price</vt:lpstr>
      <vt:lpstr>Parent_Shares</vt:lpstr>
      <vt:lpstr>Parent_Weighted_Interest</vt:lpstr>
      <vt:lpstr>ParentCo_Enterprise_Value</vt:lpstr>
      <vt:lpstr>ParentCo_Market_Cap</vt:lpstr>
      <vt:lpstr>Risk_Free_Rate</vt:lpstr>
      <vt:lpstr>Special_Cash_to_ParentCo</vt:lpstr>
      <vt:lpstr>SubCo_Marginal_Tax_Rate</vt:lpstr>
      <vt:lpstr>SubCo_Market_Cap</vt:lpstr>
      <vt:lpstr>Transaction_Cost</vt:lpstr>
      <vt:lpstr>Units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Franco Gianotti</dc:creator>
  <cp:lastModifiedBy>Franco Gianotti</cp:lastModifiedBy>
  <dcterms:created xsi:type="dcterms:W3CDTF">2025-12-13T07:49:32Z</dcterms:created>
  <dcterms:modified xsi:type="dcterms:W3CDTF">2025-12-14T16:15:18Z</dcterms:modified>
</cp:coreProperties>
</file>